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Jan\meteorologie\meteo-exc\roční\meteo 2018\"/>
    </mc:Choice>
  </mc:AlternateContent>
  <bookViews>
    <workbookView xWindow="0" yWindow="0" windowWidth="25200" windowHeight="11760" activeTab="1" xr2:uid="{E90044CA-2D2F-4EC8-93ED-631189FD0463}"/>
  </bookViews>
  <sheets>
    <sheet name="leden " sheetId="2" r:id="rId1"/>
    <sheet name="Graf1-1" sheetId="3" r:id="rId2"/>
    <sheet name="Graf1-2 " sheetId="4" r:id="rId3"/>
    <sheet name="Graf1-3 " sheetId="5" r:id="rId4"/>
  </sheets>
  <externalReferences>
    <externalReference r:id="rId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2" l="1"/>
  <c r="F81" i="2"/>
  <c r="E81" i="2"/>
  <c r="D81" i="2"/>
  <c r="B81" i="2"/>
  <c r="BO80" i="2"/>
  <c r="G80" i="2"/>
  <c r="F80" i="2"/>
  <c r="D80" i="2"/>
  <c r="B80" i="2"/>
  <c r="G79" i="2"/>
  <c r="F79" i="2"/>
  <c r="D79" i="2"/>
  <c r="B79" i="2"/>
  <c r="BO78" i="2"/>
  <c r="G78" i="2"/>
  <c r="F78" i="2"/>
  <c r="D78" i="2"/>
  <c r="B78" i="2"/>
  <c r="G77" i="2"/>
  <c r="F77" i="2"/>
  <c r="D77" i="2"/>
  <c r="B77" i="2"/>
  <c r="G76" i="2"/>
  <c r="F76" i="2"/>
  <c r="E76" i="2"/>
  <c r="D76" i="2"/>
  <c r="B76" i="2"/>
  <c r="AX75" i="2"/>
  <c r="G75" i="2"/>
  <c r="F75" i="2"/>
  <c r="D75" i="2"/>
  <c r="B75" i="2"/>
  <c r="G74" i="2"/>
  <c r="F74" i="2"/>
  <c r="D74" i="2"/>
  <c r="B74" i="2"/>
  <c r="AX73" i="2"/>
  <c r="G73" i="2"/>
  <c r="F73" i="2"/>
  <c r="D73" i="2"/>
  <c r="B73" i="2"/>
  <c r="G72" i="2"/>
  <c r="F72" i="2"/>
  <c r="E72" i="2"/>
  <c r="D72" i="2"/>
  <c r="B72" i="2"/>
  <c r="G71" i="2"/>
  <c r="F71" i="2"/>
  <c r="D71" i="2"/>
  <c r="B71" i="2"/>
  <c r="G70" i="2"/>
  <c r="F70" i="2"/>
  <c r="E70" i="2"/>
  <c r="D70" i="2"/>
  <c r="B70" i="2"/>
  <c r="G69" i="2"/>
  <c r="F69" i="2"/>
  <c r="D69" i="2"/>
  <c r="B69" i="2"/>
  <c r="G68" i="2"/>
  <c r="F68" i="2"/>
  <c r="D68" i="2"/>
  <c r="B68" i="2"/>
  <c r="BO67" i="2"/>
  <c r="G67" i="2"/>
  <c r="F67" i="2"/>
  <c r="D67" i="2"/>
  <c r="B67" i="2"/>
  <c r="BB66" i="2"/>
  <c r="AZ66" i="2"/>
  <c r="AX66" i="2"/>
  <c r="AX85" i="2" s="1"/>
  <c r="G66" i="2"/>
  <c r="F66" i="2"/>
  <c r="D66" i="2"/>
  <c r="B66" i="2"/>
  <c r="BB65" i="2"/>
  <c r="AZ65" i="2"/>
  <c r="AX65" i="2"/>
  <c r="AX84" i="2" s="1"/>
  <c r="G65" i="2"/>
  <c r="F65" i="2"/>
  <c r="D65" i="2"/>
  <c r="B65" i="2"/>
  <c r="BB64" i="2"/>
  <c r="AZ64" i="2"/>
  <c r="AX64" i="2"/>
  <c r="AX83" i="2" s="1"/>
  <c r="G64" i="2"/>
  <c r="F64" i="2"/>
  <c r="D64" i="2"/>
  <c r="B64" i="2"/>
  <c r="BB63" i="2"/>
  <c r="AZ63" i="2"/>
  <c r="AX63" i="2"/>
  <c r="AX82" i="2" s="1"/>
  <c r="G63" i="2"/>
  <c r="F63" i="2"/>
  <c r="D63" i="2"/>
  <c r="B63" i="2"/>
  <c r="BB62" i="2"/>
  <c r="AZ62" i="2"/>
  <c r="AX62" i="2"/>
  <c r="AX81" i="2" s="1"/>
  <c r="G62" i="2"/>
  <c r="F62" i="2"/>
  <c r="D62" i="2"/>
  <c r="B62" i="2"/>
  <c r="BB61" i="2"/>
  <c r="AZ61" i="2"/>
  <c r="AX61" i="2"/>
  <c r="AX80" i="2" s="1"/>
  <c r="G61" i="2"/>
  <c r="F61" i="2"/>
  <c r="D61" i="2"/>
  <c r="B61" i="2"/>
  <c r="BE60" i="2"/>
  <c r="BO68" i="2" s="1"/>
  <c r="BB60" i="2"/>
  <c r="AZ60" i="2"/>
  <c r="AX60" i="2"/>
  <c r="AX79" i="2" s="1"/>
  <c r="G60" i="2"/>
  <c r="F60" i="2"/>
  <c r="D60" i="2"/>
  <c r="B60" i="2"/>
  <c r="BK59" i="2"/>
  <c r="BH59" i="2"/>
  <c r="BE59" i="2"/>
  <c r="BB59" i="2"/>
  <c r="AZ59" i="2"/>
  <c r="AX59" i="2"/>
  <c r="AX78" i="2" s="1"/>
  <c r="G59" i="2"/>
  <c r="F59" i="2"/>
  <c r="D59" i="2"/>
  <c r="B59" i="2"/>
  <c r="BK58" i="2"/>
  <c r="BO79" i="2" s="1"/>
  <c r="BH58" i="2"/>
  <c r="BE58" i="2"/>
  <c r="BO66" i="2" s="1"/>
  <c r="BB58" i="2"/>
  <c r="AZ58" i="2"/>
  <c r="AX58" i="2"/>
  <c r="AX77" i="2" s="1"/>
  <c r="G58" i="2"/>
  <c r="F58" i="2"/>
  <c r="D58" i="2"/>
  <c r="B58" i="2"/>
  <c r="BK57" i="2"/>
  <c r="BH57" i="2"/>
  <c r="BE57" i="2"/>
  <c r="BO65" i="2" s="1"/>
  <c r="BC57" i="2"/>
  <c r="BB57" i="2"/>
  <c r="BA57" i="2"/>
  <c r="AZ57" i="2"/>
  <c r="AY57" i="2"/>
  <c r="AY76" i="2" s="1"/>
  <c r="AX57" i="2"/>
  <c r="AX76" i="2" s="1"/>
  <c r="G57" i="2"/>
  <c r="F57" i="2"/>
  <c r="D57" i="2"/>
  <c r="B57" i="2"/>
  <c r="BK56" i="2"/>
  <c r="BO77" i="2" s="1"/>
  <c r="BH56" i="2"/>
  <c r="BE56" i="2"/>
  <c r="BO64" i="2" s="1"/>
  <c r="BC56" i="2"/>
  <c r="BB56" i="2"/>
  <c r="BA56" i="2"/>
  <c r="AZ56" i="2"/>
  <c r="AY56" i="2"/>
  <c r="AY75" i="2" s="1"/>
  <c r="AX56" i="2"/>
  <c r="J56" i="2"/>
  <c r="G56" i="2"/>
  <c r="F56" i="2"/>
  <c r="D56" i="2"/>
  <c r="B56" i="2"/>
  <c r="CS55" i="2"/>
  <c r="CM55" i="2"/>
  <c r="CG55" i="2"/>
  <c r="CA55" i="2"/>
  <c r="BK55" i="2"/>
  <c r="BO76" i="2" s="1"/>
  <c r="BH55" i="2"/>
  <c r="BE55" i="2"/>
  <c r="BO63" i="2" s="1"/>
  <c r="BC55" i="2"/>
  <c r="BB55" i="2"/>
  <c r="BA55" i="2"/>
  <c r="AZ55" i="2"/>
  <c r="AY55" i="2"/>
  <c r="AY74" i="2" s="1"/>
  <c r="AX55" i="2"/>
  <c r="AX74" i="2" s="1"/>
  <c r="J55" i="2"/>
  <c r="BP44" i="2" s="1"/>
  <c r="G55" i="2"/>
  <c r="F55" i="2"/>
  <c r="D55" i="2"/>
  <c r="B55" i="2"/>
  <c r="CS54" i="2"/>
  <c r="CM54" i="2"/>
  <c r="CG54" i="2"/>
  <c r="CA54" i="2"/>
  <c r="BK54" i="2"/>
  <c r="BO75" i="2" s="1"/>
  <c r="BH54" i="2"/>
  <c r="BE54" i="2"/>
  <c r="BO62" i="2" s="1"/>
  <c r="BC54" i="2"/>
  <c r="BB54" i="2"/>
  <c r="BA54" i="2"/>
  <c r="AZ54" i="2"/>
  <c r="AY54" i="2"/>
  <c r="AY73" i="2" s="1"/>
  <c r="AX54" i="2"/>
  <c r="J54" i="2"/>
  <c r="G54" i="2"/>
  <c r="F54" i="2"/>
  <c r="D54" i="2"/>
  <c r="B54" i="2"/>
  <c r="CS53" i="2"/>
  <c r="CG53" i="2"/>
  <c r="CG52" i="2" s="1"/>
  <c r="CA53" i="2"/>
  <c r="BK53" i="2"/>
  <c r="BH53" i="2"/>
  <c r="BE53" i="2"/>
  <c r="BC53" i="2"/>
  <c r="BB53" i="2"/>
  <c r="BA53" i="2"/>
  <c r="AZ53" i="2"/>
  <c r="AY53" i="2"/>
  <c r="AY72" i="2" s="1"/>
  <c r="AX53" i="2"/>
  <c r="AX72" i="2" s="1"/>
  <c r="L53" i="2"/>
  <c r="K53" i="2"/>
  <c r="BQ42" i="2" s="1"/>
  <c r="J53" i="2"/>
  <c r="G53" i="2"/>
  <c r="F53" i="2"/>
  <c r="E53" i="2"/>
  <c r="D53" i="2"/>
  <c r="B53" i="2"/>
  <c r="CY52" i="2"/>
  <c r="CS52" i="2"/>
  <c r="CA52" i="2"/>
  <c r="BK52" i="2"/>
  <c r="BH52" i="2"/>
  <c r="BE52" i="2"/>
  <c r="BC52" i="2"/>
  <c r="BB52" i="2"/>
  <c r="BA52" i="2"/>
  <c r="AZ52" i="2"/>
  <c r="AY52" i="2"/>
  <c r="AY71" i="2" s="1"/>
  <c r="AX52" i="2"/>
  <c r="AX71" i="2" s="1"/>
  <c r="L52" i="2"/>
  <c r="K52" i="2"/>
  <c r="BQ41" i="2" s="1"/>
  <c r="J52" i="2"/>
  <c r="G52" i="2"/>
  <c r="F52" i="2"/>
  <c r="D52" i="2"/>
  <c r="B52" i="2"/>
  <c r="CY51" i="2"/>
  <c r="CS51" i="2"/>
  <c r="CG51" i="2"/>
  <c r="BK51" i="2"/>
  <c r="BH51" i="2"/>
  <c r="BE51" i="2"/>
  <c r="BC51" i="2"/>
  <c r="BB51" i="2"/>
  <c r="BA51" i="2"/>
  <c r="AZ51" i="2"/>
  <c r="AY51" i="2"/>
  <c r="AY70" i="2" s="1"/>
  <c r="AX51" i="2"/>
  <c r="AX70" i="2" s="1"/>
  <c r="L51" i="2"/>
  <c r="K51" i="2"/>
  <c r="J51" i="2"/>
  <c r="G51" i="2"/>
  <c r="F51" i="2"/>
  <c r="D51" i="2"/>
  <c r="B51" i="2"/>
  <c r="CS50" i="2"/>
  <c r="CM50" i="2"/>
  <c r="CM51" i="2" s="1"/>
  <c r="CG50" i="2"/>
  <c r="CA50" i="2"/>
  <c r="CA51" i="2" s="1"/>
  <c r="BK50" i="2"/>
  <c r="BH50" i="2"/>
  <c r="BE50" i="2"/>
  <c r="BC50" i="2"/>
  <c r="BB50" i="2"/>
  <c r="BB67" i="2" s="1"/>
  <c r="BA50" i="2"/>
  <c r="AZ50" i="2"/>
  <c r="AY50" i="2"/>
  <c r="AX50" i="2"/>
  <c r="AX69" i="2" s="1"/>
  <c r="CS49" i="2"/>
  <c r="CG49" i="2"/>
  <c r="CA49" i="2"/>
  <c r="CS48" i="2"/>
  <c r="CM48" i="2"/>
  <c r="CG48" i="2"/>
  <c r="CA48" i="2"/>
  <c r="CV47" i="2"/>
  <c r="CP47" i="2"/>
  <c r="CM47" i="2"/>
  <c r="CM53" i="2" s="1"/>
  <c r="CM52" i="2" s="1"/>
  <c r="CJ47" i="2"/>
  <c r="CD47" i="2"/>
  <c r="BX47" i="2"/>
  <c r="N46" i="2"/>
  <c r="M46" i="2"/>
  <c r="L46" i="2"/>
  <c r="K46" i="2"/>
  <c r="J46" i="2"/>
  <c r="I46" i="2"/>
  <c r="H46" i="2"/>
  <c r="G46" i="2"/>
  <c r="F46" i="2"/>
  <c r="E46" i="2"/>
  <c r="D46" i="2"/>
  <c r="C46" i="2"/>
  <c r="BP12" i="2" s="1"/>
  <c r="BP13" i="2" s="1"/>
  <c r="BQ13" i="2" s="1"/>
  <c r="B46" i="2"/>
  <c r="BP45" i="2"/>
  <c r="AO45" i="2"/>
  <c r="AA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S44" i="2"/>
  <c r="U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BP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BR42" i="2"/>
  <c r="BP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BR41" i="2"/>
  <c r="BP41" i="2"/>
  <c r="AO41" i="2"/>
  <c r="AA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BR40" i="2"/>
  <c r="BQ40" i="2"/>
  <c r="BP40" i="2"/>
  <c r="AH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S39" i="2"/>
  <c r="AH39" i="2"/>
  <c r="U39" i="2"/>
  <c r="M39" i="2"/>
  <c r="L39" i="2"/>
  <c r="K39" i="2"/>
  <c r="J39" i="2"/>
  <c r="I39" i="2"/>
  <c r="H39" i="2"/>
  <c r="G39" i="2"/>
  <c r="F39" i="2"/>
  <c r="E39" i="2"/>
  <c r="D39" i="2"/>
  <c r="C39" i="2"/>
  <c r="B39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S36" i="2"/>
  <c r="AO36" i="2"/>
  <c r="AH36" i="2"/>
  <c r="AA36" i="2"/>
  <c r="AT36" i="2" s="1"/>
  <c r="U36" i="2"/>
  <c r="AS35" i="2"/>
  <c r="AO35" i="2"/>
  <c r="E80" i="2" s="1"/>
  <c r="AH35" i="2"/>
  <c r="AA35" i="2"/>
  <c r="AT35" i="2" s="1"/>
  <c r="U35" i="2"/>
  <c r="AS34" i="2"/>
  <c r="AO34" i="2"/>
  <c r="E79" i="2" s="1"/>
  <c r="AH34" i="2"/>
  <c r="AA34" i="2"/>
  <c r="AT34" i="2" s="1"/>
  <c r="U34" i="2"/>
  <c r="AS33" i="2"/>
  <c r="AO33" i="2"/>
  <c r="E78" i="2" s="1"/>
  <c r="AH33" i="2"/>
  <c r="AA33" i="2"/>
  <c r="AT33" i="2" s="1"/>
  <c r="U33" i="2"/>
  <c r="AS32" i="2"/>
  <c r="AO32" i="2"/>
  <c r="E77" i="2" s="1"/>
  <c r="AH32" i="2"/>
  <c r="AA32" i="2"/>
  <c r="U32" i="2"/>
  <c r="AS31" i="2"/>
  <c r="AS42" i="2" s="1"/>
  <c r="AO31" i="2"/>
  <c r="AO42" i="2" s="1"/>
  <c r="AH31" i="2"/>
  <c r="AH42" i="2" s="1"/>
  <c r="AA31" i="2"/>
  <c r="AA42" i="2" s="1"/>
  <c r="U31" i="2"/>
  <c r="U42" i="2" s="1"/>
  <c r="AS30" i="2"/>
  <c r="AO30" i="2"/>
  <c r="E75" i="2" s="1"/>
  <c r="AH30" i="2"/>
  <c r="AA30" i="2"/>
  <c r="AT30" i="2" s="1"/>
  <c r="U30" i="2"/>
  <c r="AS29" i="2"/>
  <c r="AO29" i="2"/>
  <c r="E74" i="2" s="1"/>
  <c r="AH29" i="2"/>
  <c r="AA29" i="2"/>
  <c r="AT29" i="2" s="1"/>
  <c r="U29" i="2"/>
  <c r="AS28" i="2"/>
  <c r="AO28" i="2"/>
  <c r="E73" i="2" s="1"/>
  <c r="AH28" i="2"/>
  <c r="AA28" i="2"/>
  <c r="AT28" i="2" s="1"/>
  <c r="U28" i="2"/>
  <c r="AS27" i="2"/>
  <c r="AO27" i="2"/>
  <c r="AH27" i="2"/>
  <c r="AA27" i="2"/>
  <c r="AT27" i="2" s="1"/>
  <c r="U27" i="2"/>
  <c r="AS26" i="2"/>
  <c r="AO26" i="2"/>
  <c r="E71" i="2" s="1"/>
  <c r="AH26" i="2"/>
  <c r="AA26" i="2"/>
  <c r="U26" i="2"/>
  <c r="BP25" i="2"/>
  <c r="BQ25" i="2" s="1"/>
  <c r="AS25" i="2"/>
  <c r="AS48" i="2" s="1"/>
  <c r="AO25" i="2"/>
  <c r="AH25" i="2"/>
  <c r="AH53" i="2" s="1"/>
  <c r="BU12" i="2" s="1"/>
  <c r="AA25" i="2"/>
  <c r="AT25" i="2" s="1"/>
  <c r="U25" i="2"/>
  <c r="R56" i="2" s="1"/>
  <c r="U56" i="2" s="1"/>
  <c r="BO33" i="2" s="1"/>
  <c r="BP33" i="2" s="1"/>
  <c r="BP24" i="2"/>
  <c r="AS24" i="2"/>
  <c r="AO24" i="2"/>
  <c r="E69" i="2" s="1"/>
  <c r="AH24" i="2"/>
  <c r="AA24" i="2"/>
  <c r="AT24" i="2" s="1"/>
  <c r="U24" i="2"/>
  <c r="BQ23" i="2"/>
  <c r="BP23" i="2"/>
  <c r="AS23" i="2"/>
  <c r="AO23" i="2"/>
  <c r="E68" i="2" s="1"/>
  <c r="AH23" i="2"/>
  <c r="AA23" i="2"/>
  <c r="AT23" i="2" s="1"/>
  <c r="U23" i="2"/>
  <c r="BQ22" i="2"/>
  <c r="BP22" i="2"/>
  <c r="AS22" i="2"/>
  <c r="AO22" i="2"/>
  <c r="E67" i="2" s="1"/>
  <c r="AH22" i="2"/>
  <c r="AA22" i="2"/>
  <c r="AT22" i="2" s="1"/>
  <c r="U22" i="2"/>
  <c r="BQ21" i="2"/>
  <c r="BP21" i="2"/>
  <c r="AS21" i="2"/>
  <c r="AO21" i="2"/>
  <c r="AH21" i="2"/>
  <c r="AA21" i="2"/>
  <c r="AA40" i="2" s="1"/>
  <c r="U21" i="2"/>
  <c r="BQ20" i="2"/>
  <c r="BP20" i="2"/>
  <c r="AS20" i="2"/>
  <c r="AO20" i="2"/>
  <c r="E65" i="2" s="1"/>
  <c r="AH20" i="2"/>
  <c r="AA20" i="2"/>
  <c r="AT20" i="2" s="1"/>
  <c r="U20" i="2"/>
  <c r="AS19" i="2"/>
  <c r="AO19" i="2"/>
  <c r="E64" i="2" s="1"/>
  <c r="AH19" i="2"/>
  <c r="AA19" i="2"/>
  <c r="AT19" i="2" s="1"/>
  <c r="U19" i="2"/>
  <c r="AS18" i="2"/>
  <c r="AO18" i="2"/>
  <c r="E63" i="2" s="1"/>
  <c r="AH18" i="2"/>
  <c r="AA18" i="2"/>
  <c r="AT18" i="2" s="1"/>
  <c r="U18" i="2"/>
  <c r="BQ17" i="2"/>
  <c r="AS17" i="2"/>
  <c r="AO17" i="2"/>
  <c r="E62" i="2" s="1"/>
  <c r="AH17" i="2"/>
  <c r="AA17" i="2"/>
  <c r="AT17" i="2" s="1"/>
  <c r="U17" i="2"/>
  <c r="BS16" i="2"/>
  <c r="BS17" i="2" s="1"/>
  <c r="BR16" i="2"/>
  <c r="BR17" i="2" s="1"/>
  <c r="BQ16" i="2"/>
  <c r="BP16" i="2"/>
  <c r="BP17" i="2" s="1"/>
  <c r="AS16" i="2"/>
  <c r="AO16" i="2"/>
  <c r="AH16" i="2"/>
  <c r="AA16" i="2"/>
  <c r="U16" i="2"/>
  <c r="AS15" i="2"/>
  <c r="AO15" i="2"/>
  <c r="E60" i="2" s="1"/>
  <c r="AH15" i="2"/>
  <c r="AA15" i="2"/>
  <c r="AT15" i="2" s="1"/>
  <c r="U15" i="2"/>
  <c r="AS14" i="2"/>
  <c r="AO14" i="2"/>
  <c r="E59" i="2" s="1"/>
  <c r="AH14" i="2"/>
  <c r="AA14" i="2"/>
  <c r="AT14" i="2" s="1"/>
  <c r="U14" i="2"/>
  <c r="BS13" i="2"/>
  <c r="AS13" i="2"/>
  <c r="AO13" i="2"/>
  <c r="E58" i="2" s="1"/>
  <c r="AH13" i="2"/>
  <c r="AA13" i="2"/>
  <c r="AT13" i="2" s="1"/>
  <c r="U13" i="2"/>
  <c r="BS12" i="2"/>
  <c r="BR12" i="2"/>
  <c r="BR13" i="2" s="1"/>
  <c r="AS12" i="2"/>
  <c r="AO12" i="2"/>
  <c r="E57" i="2" s="1"/>
  <c r="AH12" i="2"/>
  <c r="AA12" i="2"/>
  <c r="AT12" i="2" s="1"/>
  <c r="U12" i="2"/>
  <c r="AS11" i="2"/>
  <c r="AS38" i="2" s="1"/>
  <c r="AO11" i="2"/>
  <c r="E56" i="2" s="1"/>
  <c r="AH11" i="2"/>
  <c r="AH38" i="2" s="1"/>
  <c r="AA11" i="2"/>
  <c r="AA38" i="2" s="1"/>
  <c r="U11" i="2"/>
  <c r="U38" i="2" s="1"/>
  <c r="AS10" i="2"/>
  <c r="AO10" i="2"/>
  <c r="E55" i="2" s="1"/>
  <c r="AH10" i="2"/>
  <c r="AA10" i="2"/>
  <c r="AT10" i="2" s="1"/>
  <c r="U10" i="2"/>
  <c r="BS9" i="2"/>
  <c r="AS9" i="2"/>
  <c r="AO9" i="2"/>
  <c r="E54" i="2" s="1"/>
  <c r="AH9" i="2"/>
  <c r="AA9" i="2"/>
  <c r="AA43" i="2" s="1"/>
  <c r="U9" i="2"/>
  <c r="BS8" i="2"/>
  <c r="BR8" i="2"/>
  <c r="BR9" i="2" s="1"/>
  <c r="BQ8" i="2"/>
  <c r="BP8" i="2"/>
  <c r="BP9" i="2" s="1"/>
  <c r="BQ9" i="2" s="1"/>
  <c r="AS8" i="2"/>
  <c r="AO8" i="2"/>
  <c r="AH8" i="2"/>
  <c r="AA8" i="2"/>
  <c r="AT8" i="2" s="1"/>
  <c r="U8" i="2"/>
  <c r="AS7" i="2"/>
  <c r="AO7" i="2"/>
  <c r="E52" i="2" s="1"/>
  <c r="AH7" i="2"/>
  <c r="AA7" i="2"/>
  <c r="AT7" i="2" s="1"/>
  <c r="U7" i="2"/>
  <c r="AS6" i="2"/>
  <c r="AS47" i="2" s="1"/>
  <c r="AO6" i="2"/>
  <c r="AH6" i="2"/>
  <c r="AH47" i="2" s="1"/>
  <c r="AA6" i="2"/>
  <c r="U6" i="2"/>
  <c r="BS5" i="2"/>
  <c r="BQ5" i="2"/>
  <c r="BP5" i="2"/>
  <c r="AS5" i="2"/>
  <c r="AO5" i="2"/>
  <c r="AH5" i="2"/>
  <c r="AA5" i="2"/>
  <c r="U5" i="2"/>
  <c r="BS4" i="2"/>
  <c r="BR4" i="2"/>
  <c r="BR5" i="2" s="1"/>
  <c r="BP4" i="2"/>
  <c r="BQ4" i="2" s="1"/>
  <c r="BP3" i="2"/>
  <c r="BR1" i="2"/>
  <c r="BP31" i="2" s="1"/>
  <c r="AQ1" i="2"/>
  <c r="AG1" i="2"/>
  <c r="V1" i="2"/>
  <c r="AT9" i="2" l="1"/>
  <c r="AT11" i="2"/>
  <c r="AA44" i="2"/>
  <c r="AA39" i="2"/>
  <c r="E61" i="2"/>
  <c r="AO44" i="2"/>
  <c r="AO39" i="2"/>
  <c r="AT16" i="2"/>
  <c r="U45" i="2"/>
  <c r="U41" i="2"/>
  <c r="AH45" i="2"/>
  <c r="AH41" i="2"/>
  <c r="AS45" i="2"/>
  <c r="AS41" i="2"/>
  <c r="BP27" i="2"/>
  <c r="BQ27" i="2" s="1"/>
  <c r="BP28" i="2"/>
  <c r="BQ28" i="2" s="1"/>
  <c r="BP29" i="2"/>
  <c r="BQ29" i="2" s="1"/>
  <c r="AA37" i="2"/>
  <c r="AO38" i="2"/>
  <c r="U46" i="2"/>
  <c r="AS46" i="2"/>
  <c r="AO47" i="2"/>
  <c r="AH48" i="2"/>
  <c r="AX86" i="2"/>
  <c r="AH52" i="2"/>
  <c r="BT12" i="2" s="1"/>
  <c r="U53" i="2"/>
  <c r="BU4" i="2" s="1"/>
  <c r="BO61" i="2"/>
  <c r="BO74" i="2"/>
  <c r="S57" i="2"/>
  <c r="T57" i="2" s="1"/>
  <c r="R58" i="2"/>
  <c r="R59" i="2"/>
  <c r="BB81" i="2"/>
  <c r="BQ51" i="2" s="1"/>
  <c r="AA53" i="2"/>
  <c r="BU8" i="2" s="1"/>
  <c r="AA52" i="2"/>
  <c r="BT8" i="2" s="1"/>
  <c r="AA48" i="2"/>
  <c r="AA46" i="2"/>
  <c r="AO53" i="2"/>
  <c r="BU16" i="2" s="1"/>
  <c r="AO52" i="2"/>
  <c r="BT16" i="2" s="1"/>
  <c r="AO48" i="2"/>
  <c r="AO46" i="2"/>
  <c r="AT6" i="2"/>
  <c r="BQ12" i="2"/>
  <c r="E66" i="2"/>
  <c r="AO40" i="2"/>
  <c r="AT21" i="2"/>
  <c r="BR25" i="2"/>
  <c r="AT26" i="2"/>
  <c r="BP26" i="2"/>
  <c r="BO31" i="2"/>
  <c r="AT32" i="2"/>
  <c r="AO37" i="2"/>
  <c r="U40" i="2"/>
  <c r="AS40" i="2"/>
  <c r="AO43" i="2"/>
  <c r="AH44" i="2"/>
  <c r="AH46" i="2"/>
  <c r="AA47" i="2"/>
  <c r="U48" i="2"/>
  <c r="AY69" i="2"/>
  <c r="AY67" i="2"/>
  <c r="BA67" i="2"/>
  <c r="BC67" i="2"/>
  <c r="E51" i="2"/>
  <c r="BB70" i="2"/>
  <c r="BO49" i="2" s="1"/>
  <c r="AZ67" i="2"/>
  <c r="BO59" i="2"/>
  <c r="BO72" i="2"/>
  <c r="U52" i="2"/>
  <c r="BT4" i="2" s="1"/>
  <c r="BO60" i="2"/>
  <c r="BO73" i="2"/>
  <c r="BB74" i="2"/>
  <c r="BO53" i="2" s="1"/>
  <c r="BB77" i="2"/>
  <c r="BO56" i="2" s="1"/>
  <c r="BB79" i="2"/>
  <c r="BQ49" i="2" s="1"/>
  <c r="BB82" i="2"/>
  <c r="BQ52" i="2" s="1"/>
  <c r="BB73" i="2"/>
  <c r="BO52" i="2" s="1"/>
  <c r="S59" i="2"/>
  <c r="T59" i="2" s="1"/>
  <c r="S58" i="2"/>
  <c r="T58" i="2" s="1"/>
  <c r="R57" i="2"/>
  <c r="S56" i="2"/>
  <c r="BS25" i="2"/>
  <c r="BS26" i="2" s="1"/>
  <c r="AT31" i="2"/>
  <c r="U37" i="2"/>
  <c r="AH37" i="2"/>
  <c r="AS37" i="2"/>
  <c r="U43" i="2"/>
  <c r="AH43" i="2"/>
  <c r="AS43" i="2"/>
  <c r="U47" i="2"/>
  <c r="CM49" i="2"/>
  <c r="BE61" i="2"/>
  <c r="BO58" i="2"/>
  <c r="BH60" i="2"/>
  <c r="BK60" i="2"/>
  <c r="AX67" i="2"/>
  <c r="BO71" i="2"/>
  <c r="BO81" i="2" l="1"/>
  <c r="BL57" i="2"/>
  <c r="BP78" i="2" s="1"/>
  <c r="BL56" i="2"/>
  <c r="BP77" i="2" s="1"/>
  <c r="BL59" i="2"/>
  <c r="BP80" i="2" s="1"/>
  <c r="BL58" i="2"/>
  <c r="BP79" i="2" s="1"/>
  <c r="BL50" i="2"/>
  <c r="BL55" i="2"/>
  <c r="BP76" i="2" s="1"/>
  <c r="BL54" i="2"/>
  <c r="BP75" i="2" s="1"/>
  <c r="BL52" i="2"/>
  <c r="BP73" i="2" s="1"/>
  <c r="BQ26" i="2"/>
  <c r="BR26" i="2"/>
  <c r="U58" i="2"/>
  <c r="BO35" i="2" s="1"/>
  <c r="BP35" i="2" s="1"/>
  <c r="BB85" i="2"/>
  <c r="BQ55" i="2" s="1"/>
  <c r="BB83" i="2"/>
  <c r="BQ53" i="2" s="1"/>
  <c r="BB75" i="2"/>
  <c r="BO54" i="2" s="1"/>
  <c r="BI57" i="2"/>
  <c r="BI56" i="2"/>
  <c r="BI59" i="2"/>
  <c r="BI58" i="2"/>
  <c r="BI50" i="2"/>
  <c r="BI55" i="2"/>
  <c r="BI54" i="2"/>
  <c r="BO69" i="2"/>
  <c r="BF57" i="2"/>
  <c r="BP65" i="2" s="1"/>
  <c r="BF56" i="2"/>
  <c r="BP64" i="2" s="1"/>
  <c r="BF60" i="2"/>
  <c r="BP68" i="2" s="1"/>
  <c r="BF59" i="2"/>
  <c r="BP67" i="2" s="1"/>
  <c r="BF58" i="2"/>
  <c r="BP66" i="2" s="1"/>
  <c r="BF50" i="2"/>
  <c r="BF55" i="2"/>
  <c r="BP63" i="2" s="1"/>
  <c r="BF54" i="2"/>
  <c r="BP62" i="2" s="1"/>
  <c r="U57" i="2"/>
  <c r="BO34" i="2" s="1"/>
  <c r="BP34" i="2" s="1"/>
  <c r="BB84" i="2"/>
  <c r="BQ54" i="2" s="1"/>
  <c r="BB80" i="2"/>
  <c r="BQ50" i="2" s="1"/>
  <c r="BB78" i="2"/>
  <c r="BQ48" i="2" s="1"/>
  <c r="BB76" i="2"/>
  <c r="BO55" i="2" s="1"/>
  <c r="BI53" i="2"/>
  <c r="BF52" i="2"/>
  <c r="BP60" i="2" s="1"/>
  <c r="BB71" i="2"/>
  <c r="BO50" i="2" s="1"/>
  <c r="BL51" i="2"/>
  <c r="BP72" i="2" s="1"/>
  <c r="BF51" i="2"/>
  <c r="BP59" i="2" s="1"/>
  <c r="AY86" i="2"/>
  <c r="U59" i="2"/>
  <c r="BO36" i="2" s="1"/>
  <c r="BP36" i="2" s="1"/>
  <c r="BL53" i="2"/>
  <c r="BP74" i="2" s="1"/>
  <c r="BF53" i="2"/>
  <c r="BP61" i="2" s="1"/>
  <c r="BB72" i="2"/>
  <c r="BO51" i="2" s="1"/>
  <c r="BI52" i="2"/>
  <c r="BI51" i="2"/>
  <c r="BB69" i="2"/>
  <c r="BB86" i="2" l="1"/>
  <c r="BQ56" i="2" s="1"/>
  <c r="BO48" i="2"/>
  <c r="AZ75" i="2"/>
  <c r="BS54" i="2" s="1"/>
  <c r="AZ71" i="2"/>
  <c r="BS50" i="2" s="1"/>
  <c r="AZ74" i="2"/>
  <c r="BS53" i="2" s="1"/>
  <c r="AZ76" i="2"/>
  <c r="BS55" i="2" s="1"/>
  <c r="AZ70" i="2"/>
  <c r="BS49" i="2" s="1"/>
  <c r="AZ73" i="2"/>
  <c r="BS52" i="2" s="1"/>
  <c r="AZ72" i="2"/>
  <c r="BS51" i="2" s="1"/>
  <c r="BI60" i="2"/>
  <c r="BP71" i="2"/>
  <c r="BL60" i="2"/>
  <c r="BP81" i="2" s="1"/>
  <c r="AZ69" i="2"/>
  <c r="BF61" i="2"/>
  <c r="BP69" i="2" s="1"/>
  <c r="BP58" i="2"/>
  <c r="AZ77" i="2" l="1"/>
  <c r="BS56" i="2" s="1"/>
  <c r="BS48" i="2"/>
</calcChain>
</file>

<file path=xl/sharedStrings.xml><?xml version="1.0" encoding="utf-8"?>
<sst xmlns="http://schemas.openxmlformats.org/spreadsheetml/2006/main" count="488" uniqueCount="192">
  <si>
    <t>celkem</t>
  </si>
  <si>
    <t>úplná pokrývka sníh suchý</t>
  </si>
  <si>
    <t>sníh více než na polovině, sníh suchý</t>
  </si>
  <si>
    <t>ůplná sněh pokrývka sníh vlhký</t>
  </si>
  <si>
    <t>sníh více než na polovině, sníh vlhký</t>
  </si>
  <si>
    <t>sníh méně než na polovině</t>
  </si>
  <si>
    <t xml:space="preserve">půda pokrytí náledím </t>
  </si>
  <si>
    <t>půda holá a zmrlá</t>
  </si>
  <si>
    <t>půda rozmoklá</t>
  </si>
  <si>
    <t>půda vlhká</t>
  </si>
  <si>
    <t>půda suchá</t>
  </si>
  <si>
    <t>%</t>
  </si>
  <si>
    <t>počet</t>
  </si>
  <si>
    <t>stav půdy (povrch)</t>
  </si>
  <si>
    <t>klid</t>
  </si>
  <si>
    <t>zataženo                     10</t>
  </si>
  <si>
    <t>směr</t>
  </si>
  <si>
    <t>rychlost</t>
  </si>
  <si>
    <t>pokryté oblohy</t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</si>
  <si>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 CE"/>
        <charset val="238"/>
      </rPr>
      <t>C</t>
    </r>
  </si>
  <si>
    <t>jasno                            0</t>
  </si>
  <si>
    <t xml:space="preserve">v desetinách </t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</si>
  <si>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 CE"/>
        <charset val="238"/>
      </rPr>
      <t>C</t>
    </r>
  </si>
  <si>
    <t xml:space="preserve">počet </t>
  </si>
  <si>
    <t>Oblačnost</t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</si>
  <si>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 CE"/>
        <charset val="238"/>
      </rPr>
      <t>C</t>
    </r>
  </si>
  <si>
    <t>J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</si>
  <si>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 CE"/>
        <charset val="238"/>
      </rPr>
      <t>C</t>
    </r>
  </si>
  <si>
    <t>efektivní teploty</t>
  </si>
  <si>
    <t>minimum</t>
  </si>
  <si>
    <t>mim. Vlhký nad</t>
  </si>
  <si>
    <t>mimořádně teplý nad</t>
  </si>
  <si>
    <t>S</t>
  </si>
  <si>
    <t>JVJ</t>
  </si>
  <si>
    <t>ef. tepl.</t>
  </si>
  <si>
    <t>odpočet</t>
  </si>
  <si>
    <t>suma</t>
  </si>
  <si>
    <t>maximum</t>
  </si>
  <si>
    <t>silně vlhký nad</t>
  </si>
  <si>
    <t>silně teplý nad</t>
  </si>
  <si>
    <t>SSZ</t>
  </si>
  <si>
    <t>JV</t>
  </si>
  <si>
    <t>průměr celkem</t>
  </si>
  <si>
    <t>vlhký nad</t>
  </si>
  <si>
    <t>teplý nad</t>
  </si>
  <si>
    <t>SZ</t>
  </si>
  <si>
    <t>VJV</t>
  </si>
  <si>
    <t>počet telotně podnormálních dní</t>
  </si>
  <si>
    <t>normální do</t>
  </si>
  <si>
    <t>ZSZ</t>
  </si>
  <si>
    <t>V</t>
  </si>
  <si>
    <t>počet telotně nadnormálních dní</t>
  </si>
  <si>
    <t>normální od</t>
  </si>
  <si>
    <t>Z</t>
  </si>
  <si>
    <t>VSV</t>
  </si>
  <si>
    <t>do</t>
  </si>
  <si>
    <t>prům poz termínů</t>
  </si>
  <si>
    <t>suchý pod</t>
  </si>
  <si>
    <t>studený pod</t>
  </si>
  <si>
    <t>ZJZ</t>
  </si>
  <si>
    <t>SV</t>
  </si>
  <si>
    <t>termínů</t>
  </si>
  <si>
    <t>od</t>
  </si>
  <si>
    <t xml:space="preserve">normál </t>
  </si>
  <si>
    <t>vlhkost vzduchu</t>
  </si>
  <si>
    <t>poz. termíny</t>
  </si>
  <si>
    <t>srážky</t>
  </si>
  <si>
    <t>dl.abs.min.t.</t>
  </si>
  <si>
    <t>min.t.08</t>
  </si>
  <si>
    <t>prům.t.08</t>
  </si>
  <si>
    <t xml:space="preserve"> dl.prům.t.klouzavý průměr</t>
  </si>
  <si>
    <t>dl.abs.max.t.</t>
  </si>
  <si>
    <t>silně suchý pod</t>
  </si>
  <si>
    <t>sijně studený pod</t>
  </si>
  <si>
    <t>JZ</t>
  </si>
  <si>
    <t>SSV</t>
  </si>
  <si>
    <t xml:space="preserve">z pozorovacích </t>
  </si>
  <si>
    <t>40 letý pr.</t>
  </si>
  <si>
    <t>datum</t>
  </si>
  <si>
    <t>mimořádně suchý pod</t>
  </si>
  <si>
    <t>mim.studený pod</t>
  </si>
  <si>
    <t>JJZ</t>
  </si>
  <si>
    <t xml:space="preserve">v % výskytu </t>
  </si>
  <si>
    <t>stav půdy</t>
  </si>
  <si>
    <t>stav počasí</t>
  </si>
  <si>
    <t>oblačnost</t>
  </si>
  <si>
    <t>vítr</t>
  </si>
  <si>
    <t>min.</t>
  </si>
  <si>
    <t>Údaje pro graf:</t>
  </si>
  <si>
    <t>40letý pr.</t>
  </si>
  <si>
    <t>průměr</t>
  </si>
  <si>
    <t>m/sec</t>
  </si>
  <si>
    <t>max.</t>
  </si>
  <si>
    <t>1987</t>
  </si>
  <si>
    <t>2007</t>
  </si>
  <si>
    <t>měs.</t>
  </si>
  <si>
    <t>měsíc</t>
  </si>
  <si>
    <t>2006</t>
  </si>
  <si>
    <t>2002</t>
  </si>
  <si>
    <t>2008</t>
  </si>
  <si>
    <t>1985</t>
  </si>
  <si>
    <r>
      <t>dek.</t>
    </r>
    <r>
      <rPr>
        <sz val="10"/>
        <rFont val="Arial CE"/>
        <family val="2"/>
        <charset val="238"/>
      </rPr>
      <t>1</t>
    </r>
  </si>
  <si>
    <t>dek. 1</t>
  </si>
  <si>
    <t>dek.1</t>
  </si>
  <si>
    <t>1983</t>
  </si>
  <si>
    <t>pozorovací termíny v hod,</t>
  </si>
  <si>
    <t>Vlhkost vzduchu</t>
  </si>
  <si>
    <t>Další údaje bez srovnání s historií</t>
  </si>
  <si>
    <t>1993</t>
  </si>
  <si>
    <t>2014</t>
  </si>
  <si>
    <r>
      <t>pent.</t>
    </r>
    <r>
      <rPr>
        <sz val="10"/>
        <rFont val="Arial CE"/>
        <family val="2"/>
        <charset val="238"/>
      </rPr>
      <t>1</t>
    </r>
  </si>
  <si>
    <t>1988</t>
  </si>
  <si>
    <t>pent.1</t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</si>
  <si>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</si>
  <si>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1990</t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</si>
  <si>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</si>
  <si>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1981</t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</si>
  <si>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</si>
  <si>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2005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</si>
  <si>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</si>
  <si>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od poč. r.</t>
  </si>
  <si>
    <t xml:space="preserve">za měsíc </t>
  </si>
  <si>
    <t>narůstajícím způsobem</t>
  </si>
  <si>
    <t>2010</t>
  </si>
  <si>
    <t>dlouhodobě.</t>
  </si>
  <si>
    <t>Efektivní teploty</t>
  </si>
  <si>
    <t>1997</t>
  </si>
  <si>
    <t>rekordy  + ve dnech</t>
  </si>
  <si>
    <t>1979</t>
  </si>
  <si>
    <t>2001</t>
  </si>
  <si>
    <t xml:space="preserve">           nad 10mm</t>
  </si>
  <si>
    <t>z toho nad 1 mm</t>
  </si>
  <si>
    <t>počet sráž. dnů celkem</t>
  </si>
  <si>
    <t>od poč. roku</t>
  </si>
  <si>
    <t>v měsíci</t>
  </si>
  <si>
    <t>max/den</t>
  </si>
  <si>
    <t>% normálu</t>
  </si>
  <si>
    <t>rozdíl</t>
  </si>
  <si>
    <t>dl. průměr</t>
  </si>
  <si>
    <t>1982</t>
  </si>
  <si>
    <t>tropických</t>
  </si>
  <si>
    <t>1986</t>
  </si>
  <si>
    <t>letních</t>
  </si>
  <si>
    <t>mrazových</t>
  </si>
  <si>
    <t>ledových</t>
  </si>
  <si>
    <t xml:space="preserve">počet dnů </t>
  </si>
  <si>
    <t>rekordy - ve dnech</t>
  </si>
  <si>
    <t>2011</t>
  </si>
  <si>
    <t>přízemní</t>
  </si>
  <si>
    <t>1996</t>
  </si>
  <si>
    <t>minim. teplota</t>
  </si>
  <si>
    <t>1998</t>
  </si>
  <si>
    <t>1994</t>
  </si>
  <si>
    <t>1980</t>
  </si>
  <si>
    <t>2012</t>
  </si>
  <si>
    <t>maxim. teplota</t>
  </si>
  <si>
    <t>2013</t>
  </si>
  <si>
    <t>rok</t>
  </si>
  <si>
    <t>maxim.</t>
  </si>
  <si>
    <t>t min</t>
  </si>
  <si>
    <t>t max</t>
  </si>
  <si>
    <t>prům.t</t>
  </si>
  <si>
    <t>t max.</t>
  </si>
  <si>
    <t>nový</t>
  </si>
  <si>
    <t>mm</t>
  </si>
  <si>
    <t>min. př.</t>
  </si>
  <si>
    <t>min.21</t>
  </si>
  <si>
    <t>prům. teplota:</t>
  </si>
  <si>
    <t>Datum</t>
  </si>
  <si>
    <t>tepl. rozdíly</t>
  </si>
  <si>
    <t>minimální teplota přízemní</t>
  </si>
  <si>
    <t xml:space="preserve">minimální teplota </t>
  </si>
  <si>
    <t xml:space="preserve">maximální teplota </t>
  </si>
  <si>
    <t>průměrná teplota</t>
  </si>
  <si>
    <t>sníh</t>
  </si>
  <si>
    <t>relativní vlhkost</t>
  </si>
  <si>
    <t>Teplota  C</t>
  </si>
  <si>
    <t>pořadí</t>
  </si>
  <si>
    <t>teplota</t>
  </si>
  <si>
    <t>podnormálních</t>
  </si>
  <si>
    <t>nadnormálních</t>
  </si>
  <si>
    <t>Srovnání hodnot daného roku  s historickými údaji stanice</t>
  </si>
  <si>
    <t>Úhrny srážek</t>
  </si>
  <si>
    <t>Přízemní minimální teploty v průměru</t>
  </si>
  <si>
    <t>Minimální teploty v průměru</t>
  </si>
  <si>
    <t>Maximální teploty v průměru teploty</t>
  </si>
  <si>
    <t>Průměrné teploty</t>
  </si>
  <si>
    <t xml:space="preserve">počet dnů teplotně </t>
  </si>
  <si>
    <t xml:space="preserve">Stanice Mořkov </t>
  </si>
  <si>
    <t>Hodnocení počasí v lednu:</t>
  </si>
  <si>
    <t>leden</t>
  </si>
  <si>
    <t>Leden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</si>
</sst>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_)"/>
    <numFmt numFmtId="166" formatCode="General_)"/>
  </numFmts>
  <fonts count="1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sz val="8"/>
      <name val="Arial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55">
    <xf numFmtId="0" fontId="0" fillId="0" borderId="0" xfId="0"/>
    <xf numFmtId="0" fontId="1" fillId="0" borderId="0" xfId="0" applyFont="1"/>
    <xf numFmtId="164" fontId="1" fillId="2" borderId="0" xfId="0" applyNumberFormat="1" applyFont="1" applyFill="1"/>
    <xf numFmtId="0" fontId="1" fillId="3" borderId="0" xfId="0" applyFont="1" applyFill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4" fontId="2" fillId="4" borderId="1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3" fillId="4" borderId="4" xfId="0" applyFont="1" applyFill="1" applyBorder="1"/>
    <xf numFmtId="164" fontId="1" fillId="0" borderId="5" xfId="0" applyNumberFormat="1" applyFont="1" applyBorder="1"/>
    <xf numFmtId="0" fontId="4" fillId="0" borderId="6" xfId="0" applyFont="1" applyBorder="1"/>
    <xf numFmtId="164" fontId="1" fillId="4" borderId="7" xfId="0" applyNumberFormat="1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5" fillId="4" borderId="10" xfId="0" applyFont="1" applyFill="1" applyBorder="1"/>
    <xf numFmtId="0" fontId="4" fillId="0" borderId="11" xfId="0" applyFont="1" applyBorder="1"/>
    <xf numFmtId="164" fontId="1" fillId="4" borderId="12" xfId="0" applyNumberFormat="1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5" fillId="4" borderId="15" xfId="0" applyFont="1" applyFill="1" applyBorder="1"/>
    <xf numFmtId="0" fontId="0" fillId="4" borderId="14" xfId="0" applyFill="1" applyBorder="1"/>
    <xf numFmtId="0" fontId="1" fillId="4" borderId="15" xfId="0" applyFont="1" applyFill="1" applyBorder="1"/>
    <xf numFmtId="164" fontId="0" fillId="2" borderId="16" xfId="0" applyNumberFormat="1" applyFill="1" applyBorder="1"/>
    <xf numFmtId="164" fontId="1" fillId="3" borderId="0" xfId="0" applyNumberFormat="1" applyFont="1" applyFill="1"/>
    <xf numFmtId="164" fontId="1" fillId="0" borderId="2" xfId="0" applyNumberFormat="1" applyFont="1" applyBorder="1"/>
    <xf numFmtId="164" fontId="1" fillId="4" borderId="17" xfId="0" applyNumberFormat="1" applyFont="1" applyFill="1" applyBorder="1"/>
    <xf numFmtId="0" fontId="1" fillId="4" borderId="18" xfId="0" applyFont="1" applyFill="1" applyBorder="1"/>
    <xf numFmtId="0" fontId="0" fillId="4" borderId="19" xfId="0" applyFill="1" applyBorder="1"/>
    <xf numFmtId="0" fontId="1" fillId="4" borderId="20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0" fontId="3" fillId="4" borderId="24" xfId="0" applyFont="1" applyFill="1" applyBorder="1"/>
    <xf numFmtId="164" fontId="6" fillId="4" borderId="25" xfId="0" applyNumberFormat="1" applyFont="1" applyFill="1" applyBorder="1"/>
    <xf numFmtId="0" fontId="6" fillId="4" borderId="26" xfId="0" applyFont="1" applyFill="1" applyBorder="1"/>
    <xf numFmtId="0" fontId="0" fillId="4" borderId="6" xfId="0" applyFill="1" applyBorder="1"/>
    <xf numFmtId="0" fontId="0" fillId="4" borderId="11" xfId="0" applyFill="1" applyBorder="1"/>
    <xf numFmtId="0" fontId="7" fillId="2" borderId="0" xfId="0" applyFont="1" applyFill="1" applyBorder="1"/>
    <xf numFmtId="164" fontId="1" fillId="5" borderId="0" xfId="0" applyNumberFormat="1" applyFont="1" applyFill="1"/>
    <xf numFmtId="0" fontId="1" fillId="5" borderId="0" xfId="0" applyFont="1" applyFill="1"/>
    <xf numFmtId="0" fontId="1" fillId="0" borderId="0" xfId="0" applyFont="1" applyFill="1"/>
    <xf numFmtId="164" fontId="1" fillId="6" borderId="0" xfId="0" applyNumberFormat="1" applyFont="1" applyFill="1"/>
    <xf numFmtId="0" fontId="1" fillId="6" borderId="0" xfId="0" applyFont="1" applyFill="1"/>
    <xf numFmtId="164" fontId="1" fillId="7" borderId="0" xfId="0" applyNumberFormat="1" applyFont="1" applyFill="1"/>
    <xf numFmtId="0" fontId="1" fillId="7" borderId="0" xfId="0" applyFont="1" applyFill="1"/>
    <xf numFmtId="0" fontId="5" fillId="0" borderId="0" xfId="0" applyFont="1"/>
    <xf numFmtId="0" fontId="5" fillId="4" borderId="11" xfId="0" applyFont="1" applyFill="1" applyBorder="1"/>
    <xf numFmtId="0" fontId="6" fillId="4" borderId="21" xfId="0" applyFont="1" applyFill="1" applyBorder="1"/>
    <xf numFmtId="0" fontId="6" fillId="4" borderId="22" xfId="0" applyFont="1" applyFill="1" applyBorder="1"/>
    <xf numFmtId="0" fontId="3" fillId="4" borderId="27" xfId="0" applyFont="1" applyFill="1" applyBorder="1"/>
    <xf numFmtId="0" fontId="0" fillId="0" borderId="7" xfId="0" applyBorder="1"/>
    <xf numFmtId="0" fontId="0" fillId="0" borderId="9" xfId="0" applyBorder="1"/>
    <xf numFmtId="0" fontId="5" fillId="0" borderId="8" xfId="0" applyFont="1" applyBorder="1" applyAlignment="1">
      <alignment horizontal="right"/>
    </xf>
    <xf numFmtId="164" fontId="0" fillId="0" borderId="8" xfId="0" applyNumberFormat="1" applyBorder="1"/>
    <xf numFmtId="0" fontId="5" fillId="0" borderId="28" xfId="0" applyFont="1" applyBorder="1" applyAlignment="1">
      <alignment horizontal="right"/>
    </xf>
    <xf numFmtId="0" fontId="0" fillId="0" borderId="4" xfId="0" applyBorder="1"/>
    <xf numFmtId="164" fontId="1" fillId="0" borderId="0" xfId="0" applyNumberFormat="1" applyFont="1" applyBorder="1"/>
    <xf numFmtId="164" fontId="1" fillId="0" borderId="22" xfId="0" applyNumberFormat="1" applyFont="1" applyBorder="1"/>
    <xf numFmtId="1" fontId="1" fillId="3" borderId="0" xfId="0" applyNumberFormat="1" applyFont="1" applyFill="1"/>
    <xf numFmtId="0" fontId="1" fillId="8" borderId="0" xfId="0" applyFont="1" applyFill="1"/>
    <xf numFmtId="2" fontId="1" fillId="8" borderId="0" xfId="0" applyNumberFormat="1" applyFont="1" applyFill="1"/>
    <xf numFmtId="0" fontId="1" fillId="0" borderId="0" xfId="0" applyFont="1" applyBorder="1"/>
    <xf numFmtId="164" fontId="1" fillId="8" borderId="0" xfId="0" applyNumberFormat="1" applyFont="1" applyFill="1"/>
    <xf numFmtId="164" fontId="0" fillId="0" borderId="12" xfId="0" applyNumberFormat="1" applyBorder="1"/>
    <xf numFmtId="0" fontId="0" fillId="0" borderId="14" xfId="0" applyBorder="1"/>
    <xf numFmtId="0" fontId="5" fillId="0" borderId="13" xfId="0" applyFont="1" applyBorder="1" applyAlignment="1">
      <alignment horizontal="right"/>
    </xf>
    <xf numFmtId="164" fontId="0" fillId="0" borderId="13" xfId="0" applyNumberFormat="1" applyBorder="1"/>
    <xf numFmtId="0" fontId="5" fillId="0" borderId="29" xfId="0" applyFont="1" applyBorder="1" applyAlignment="1">
      <alignment horizontal="right"/>
    </xf>
    <xf numFmtId="0" fontId="0" fillId="0" borderId="30" xfId="0" applyBorder="1"/>
    <xf numFmtId="2" fontId="1" fillId="7" borderId="0" xfId="0" applyNumberFormat="1" applyFont="1" applyFill="1"/>
    <xf numFmtId="0" fontId="1" fillId="0" borderId="0" xfId="0" applyFont="1" applyFill="1" applyBorder="1"/>
    <xf numFmtId="164" fontId="0" fillId="0" borderId="0" xfId="0" applyNumberFormat="1" applyFont="1" applyFill="1" applyBorder="1"/>
    <xf numFmtId="2" fontId="1" fillId="2" borderId="0" xfId="0" applyNumberFormat="1" applyFont="1" applyFill="1"/>
    <xf numFmtId="164" fontId="1" fillId="0" borderId="0" xfId="0" applyNumberFormat="1" applyFont="1" applyFill="1" applyBorder="1"/>
    <xf numFmtId="164" fontId="0" fillId="0" borderId="0" xfId="0" applyNumberFormat="1" applyBorder="1"/>
    <xf numFmtId="1" fontId="1" fillId="2" borderId="0" xfId="0" applyNumberFormat="1" applyFont="1" applyFill="1"/>
    <xf numFmtId="2" fontId="1" fillId="0" borderId="0" xfId="0" applyNumberFormat="1" applyFont="1"/>
    <xf numFmtId="166" fontId="9" fillId="0" borderId="0" xfId="0" applyNumberFormat="1" applyFont="1" applyFill="1" applyBorder="1" applyAlignment="1" applyProtection="1">
      <alignment horizontal="left" vertical="center"/>
    </xf>
    <xf numFmtId="0" fontId="7" fillId="2" borderId="0" xfId="0" applyFont="1" applyFill="1"/>
    <xf numFmtId="2" fontId="1" fillId="3" borderId="0" xfId="0" applyNumberFormat="1" applyFont="1" applyFill="1"/>
    <xf numFmtId="0" fontId="9" fillId="0" borderId="0" xfId="0" applyFont="1" applyFill="1" applyBorder="1"/>
    <xf numFmtId="0" fontId="0" fillId="0" borderId="0" xfId="0" applyBorder="1"/>
    <xf numFmtId="0" fontId="7" fillId="0" borderId="0" xfId="0" applyFont="1"/>
    <xf numFmtId="0" fontId="1" fillId="0" borderId="8" xfId="0" applyFont="1" applyBorder="1"/>
    <xf numFmtId="0" fontId="1" fillId="0" borderId="6" xfId="0" applyFont="1" applyBorder="1"/>
    <xf numFmtId="0" fontId="1" fillId="9" borderId="0" xfId="0" applyFont="1" applyFill="1"/>
    <xf numFmtId="2" fontId="1" fillId="9" borderId="0" xfId="0" applyNumberFormat="1" applyFont="1" applyFill="1"/>
    <xf numFmtId="164" fontId="1" fillId="9" borderId="0" xfId="0" applyNumberFormat="1" applyFont="1" applyFill="1"/>
    <xf numFmtId="0" fontId="10" fillId="0" borderId="0" xfId="0" applyFont="1" applyFill="1" applyBorder="1"/>
    <xf numFmtId="0" fontId="1" fillId="0" borderId="27" xfId="0" applyFont="1" applyBorder="1"/>
    <xf numFmtId="2" fontId="1" fillId="5" borderId="0" xfId="0" applyNumberFormat="1" applyFont="1" applyFill="1"/>
    <xf numFmtId="164" fontId="0" fillId="0" borderId="16" xfId="0" applyNumberFormat="1" applyBorder="1"/>
    <xf numFmtId="0" fontId="5" fillId="0" borderId="31" xfId="0" applyFont="1" applyBorder="1"/>
    <xf numFmtId="0" fontId="5" fillId="0" borderId="32" xfId="0" applyFont="1" applyBorder="1" applyAlignment="1">
      <alignment horizontal="right"/>
    </xf>
    <xf numFmtId="164" fontId="0" fillId="0" borderId="32" xfId="0" applyNumberFormat="1" applyBorder="1"/>
    <xf numFmtId="0" fontId="1" fillId="4" borderId="33" xfId="0" applyFont="1" applyFill="1" applyBorder="1" applyAlignment="1">
      <alignment horizontal="right"/>
    </xf>
    <xf numFmtId="0" fontId="5" fillId="0" borderId="30" xfId="0" applyFont="1" applyBorder="1"/>
    <xf numFmtId="0" fontId="1" fillId="4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0" fillId="0" borderId="0" xfId="0" applyFont="1" applyFill="1" applyBorder="1" applyAlignment="1" applyProtection="1"/>
    <xf numFmtId="164" fontId="1" fillId="0" borderId="34" xfId="0" applyNumberFormat="1" applyFont="1" applyFill="1" applyBorder="1"/>
    <xf numFmtId="164" fontId="1" fillId="0" borderId="35" xfId="0" applyNumberFormat="1" applyFont="1" applyBorder="1"/>
    <xf numFmtId="0" fontId="1" fillId="0" borderId="35" xfId="0" applyFont="1" applyBorder="1"/>
    <xf numFmtId="0" fontId="3" fillId="0" borderId="1" xfId="0" applyFont="1" applyBorder="1"/>
    <xf numFmtId="164" fontId="2" fillId="4" borderId="3" xfId="0" applyNumberFormat="1" applyFont="1" applyFill="1" applyBorder="1"/>
    <xf numFmtId="0" fontId="3" fillId="0" borderId="2" xfId="0" applyFont="1" applyBorder="1"/>
    <xf numFmtId="0" fontId="2" fillId="4" borderId="6" xfId="0" applyFont="1" applyFill="1" applyBorder="1"/>
    <xf numFmtId="0" fontId="4" fillId="0" borderId="0" xfId="0" applyFont="1"/>
    <xf numFmtId="164" fontId="1" fillId="0" borderId="0" xfId="0" applyNumberFormat="1" applyFont="1" applyFill="1"/>
    <xf numFmtId="164" fontId="4" fillId="0" borderId="0" xfId="0" applyNumberFormat="1" applyFont="1" applyBorder="1"/>
    <xf numFmtId="0" fontId="4" fillId="0" borderId="0" xfId="0" applyFont="1" applyBorder="1"/>
    <xf numFmtId="164" fontId="1" fillId="9" borderId="7" xfId="0" applyNumberFormat="1" applyFont="1" applyFill="1" applyBorder="1"/>
    <xf numFmtId="0" fontId="1" fillId="4" borderId="36" xfId="0" applyFont="1" applyFill="1" applyBorder="1"/>
    <xf numFmtId="0" fontId="1" fillId="0" borderId="37" xfId="0" applyFont="1" applyFill="1" applyBorder="1"/>
    <xf numFmtId="164" fontId="1" fillId="0" borderId="38" xfId="0" applyNumberFormat="1" applyFont="1" applyFill="1" applyBorder="1"/>
    <xf numFmtId="0" fontId="1" fillId="0" borderId="28" xfId="0" applyFont="1" applyFill="1" applyBorder="1"/>
    <xf numFmtId="164" fontId="1" fillId="5" borderId="7" xfId="0" applyNumberFormat="1" applyFont="1" applyFill="1" applyBorder="1"/>
    <xf numFmtId="0" fontId="3" fillId="0" borderId="21" xfId="0" applyFont="1" applyBorder="1"/>
    <xf numFmtId="164" fontId="2" fillId="4" borderId="23" xfId="0" applyNumberFormat="1" applyFont="1" applyFill="1" applyBorder="1"/>
    <xf numFmtId="164" fontId="2" fillId="4" borderId="21" xfId="0" applyNumberFormat="1" applyFont="1" applyFill="1" applyBorder="1"/>
    <xf numFmtId="0" fontId="3" fillId="0" borderId="22" xfId="0" applyFont="1" applyBorder="1"/>
    <xf numFmtId="0" fontId="2" fillId="4" borderId="27" xfId="0" applyFont="1" applyFill="1" applyBorder="1"/>
    <xf numFmtId="0" fontId="11" fillId="0" borderId="24" xfId="0" applyFont="1" applyBorder="1"/>
    <xf numFmtId="164" fontId="1" fillId="0" borderId="25" xfId="0" applyNumberFormat="1" applyFont="1" applyFill="1" applyBorder="1"/>
    <xf numFmtId="49" fontId="7" fillId="0" borderId="26" xfId="0" applyNumberFormat="1" applyFont="1" applyFill="1" applyBorder="1" applyAlignment="1">
      <alignment horizontal="right"/>
    </xf>
    <xf numFmtId="164" fontId="1" fillId="0" borderId="26" xfId="0" applyNumberFormat="1" applyFont="1" applyFill="1" applyBorder="1"/>
    <xf numFmtId="164" fontId="1" fillId="0" borderId="39" xfId="0" applyNumberFormat="1" applyFont="1" applyFill="1" applyBorder="1"/>
    <xf numFmtId="49" fontId="7" fillId="0" borderId="26" xfId="0" applyNumberFormat="1" applyFont="1" applyBorder="1" applyAlignment="1">
      <alignment horizontal="right"/>
    </xf>
    <xf numFmtId="164" fontId="1" fillId="0" borderId="26" xfId="0" applyNumberFormat="1" applyFont="1" applyBorder="1"/>
    <xf numFmtId="164" fontId="1" fillId="0" borderId="39" xfId="0" applyNumberFormat="1" applyFont="1" applyBorder="1"/>
    <xf numFmtId="0" fontId="1" fillId="0" borderId="40" xfId="0" applyFont="1" applyBorder="1"/>
    <xf numFmtId="49" fontId="7" fillId="0" borderId="41" xfId="0" applyNumberFormat="1" applyFont="1" applyBorder="1" applyAlignment="1">
      <alignment horizontal="right"/>
    </xf>
    <xf numFmtId="164" fontId="1" fillId="0" borderId="42" xfId="0" applyNumberFormat="1" applyFont="1" applyBorder="1"/>
    <xf numFmtId="0" fontId="1" fillId="0" borderId="39" xfId="0" applyFont="1" applyBorder="1"/>
    <xf numFmtId="164" fontId="1" fillId="0" borderId="25" xfId="0" applyNumberFormat="1" applyFont="1" applyBorder="1"/>
    <xf numFmtId="1" fontId="1" fillId="0" borderId="41" xfId="0" applyNumberFormat="1" applyFont="1" applyBorder="1"/>
    <xf numFmtId="1" fontId="1" fillId="0" borderId="43" xfId="0" applyNumberFormat="1" applyFont="1" applyBorder="1"/>
    <xf numFmtId="164" fontId="1" fillId="0" borderId="44" xfId="0" applyNumberFormat="1" applyFont="1" applyBorder="1"/>
    <xf numFmtId="164" fontId="1" fillId="0" borderId="43" xfId="0" applyNumberFormat="1" applyFont="1" applyBorder="1"/>
    <xf numFmtId="164" fontId="1" fillId="9" borderId="45" xfId="0" applyNumberFormat="1" applyFont="1" applyFill="1" applyBorder="1"/>
    <xf numFmtId="0" fontId="1" fillId="4" borderId="46" xfId="0" applyFont="1" applyFill="1" applyBorder="1"/>
    <xf numFmtId="0" fontId="1" fillId="0" borderId="47" xfId="0" applyFont="1" applyBorder="1"/>
    <xf numFmtId="164" fontId="1" fillId="0" borderId="48" xfId="0" applyNumberFormat="1" applyFont="1" applyBorder="1"/>
    <xf numFmtId="0" fontId="1" fillId="0" borderId="49" xfId="0" applyFont="1" applyBorder="1"/>
    <xf numFmtId="164" fontId="1" fillId="4" borderId="0" xfId="0" applyNumberFormat="1" applyFont="1" applyFill="1" applyBorder="1"/>
    <xf numFmtId="164" fontId="1" fillId="4" borderId="30" xfId="0" applyNumberFormat="1" applyFont="1" applyFill="1" applyBorder="1"/>
    <xf numFmtId="1" fontId="1" fillId="4" borderId="48" xfId="0" applyNumberFormat="1" applyFont="1" applyFill="1" applyBorder="1"/>
    <xf numFmtId="0" fontId="1" fillId="4" borderId="50" xfId="0" applyFont="1" applyFill="1" applyBorder="1"/>
    <xf numFmtId="0" fontId="1" fillId="4" borderId="51" xfId="0" applyFont="1" applyFill="1" applyBorder="1"/>
    <xf numFmtId="164" fontId="1" fillId="0" borderId="52" xfId="0" applyNumberFormat="1" applyFont="1" applyFill="1" applyBorder="1"/>
    <xf numFmtId="49" fontId="7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/>
    <xf numFmtId="164" fontId="1" fillId="0" borderId="11" xfId="0" applyNumberFormat="1" applyFont="1" applyFill="1" applyBorder="1"/>
    <xf numFmtId="49" fontId="7" fillId="0" borderId="5" xfId="0" applyNumberFormat="1" applyFont="1" applyBorder="1" applyAlignment="1">
      <alignment horizontal="right"/>
    </xf>
    <xf numFmtId="164" fontId="1" fillId="0" borderId="11" xfId="0" applyNumberFormat="1" applyFont="1" applyBorder="1"/>
    <xf numFmtId="0" fontId="1" fillId="0" borderId="30" xfId="0" applyFont="1" applyBorder="1"/>
    <xf numFmtId="164" fontId="1" fillId="0" borderId="1" xfId="0" applyNumberFormat="1" applyFont="1" applyFill="1" applyBorder="1"/>
    <xf numFmtId="49" fontId="10" fillId="0" borderId="53" xfId="0" applyNumberFormat="1" applyFont="1" applyFill="1" applyBorder="1" applyAlignment="1" applyProtection="1">
      <alignment horizontal="right"/>
    </xf>
    <xf numFmtId="165" fontId="9" fillId="0" borderId="53" xfId="0" applyNumberFormat="1" applyFont="1" applyFill="1" applyBorder="1" applyProtection="1"/>
    <xf numFmtId="165" fontId="9" fillId="0" borderId="54" xfId="0" applyNumberFormat="1" applyFont="1" applyFill="1" applyBorder="1" applyProtection="1"/>
    <xf numFmtId="0" fontId="1" fillId="0" borderId="11" xfId="0" applyFont="1" applyBorder="1"/>
    <xf numFmtId="164" fontId="1" fillId="0" borderId="34" xfId="0" applyNumberFormat="1" applyFont="1" applyBorder="1"/>
    <xf numFmtId="1" fontId="1" fillId="0" borderId="55" xfId="0" applyNumberFormat="1" applyFont="1" applyBorder="1"/>
    <xf numFmtId="1" fontId="1" fillId="0" borderId="0" xfId="0" applyNumberFormat="1" applyFont="1" applyBorder="1"/>
    <xf numFmtId="164" fontId="1" fillId="0" borderId="56" xfId="0" applyNumberFormat="1" applyFont="1" applyBorder="1"/>
    <xf numFmtId="164" fontId="1" fillId="9" borderId="12" xfId="0" applyNumberFormat="1" applyFont="1" applyFill="1" applyBorder="1"/>
    <xf numFmtId="0" fontId="1" fillId="0" borderId="57" xfId="0" applyFont="1" applyBorder="1"/>
    <xf numFmtId="164" fontId="1" fillId="0" borderId="58" xfId="0" applyNumberFormat="1" applyFont="1" applyBorder="1"/>
    <xf numFmtId="0" fontId="1" fillId="0" borderId="29" xfId="0" applyFont="1" applyBorder="1"/>
    <xf numFmtId="164" fontId="1" fillId="3" borderId="12" xfId="0" applyNumberFormat="1" applyFont="1" applyFill="1" applyBorder="1"/>
    <xf numFmtId="1" fontId="1" fillId="4" borderId="58" xfId="0" applyNumberFormat="1" applyFont="1" applyFill="1" applyBorder="1"/>
    <xf numFmtId="0" fontId="1" fillId="4" borderId="59" xfId="0" applyFont="1" applyFill="1" applyBorder="1"/>
    <xf numFmtId="49" fontId="10" fillId="0" borderId="55" xfId="0" applyNumberFormat="1" applyFont="1" applyFill="1" applyBorder="1" applyAlignment="1" applyProtection="1">
      <alignment horizontal="right"/>
    </xf>
    <xf numFmtId="165" fontId="9" fillId="0" borderId="55" xfId="0" applyNumberFormat="1" applyFont="1" applyFill="1" applyBorder="1" applyProtection="1"/>
    <xf numFmtId="165" fontId="9" fillId="0" borderId="0" xfId="0" applyNumberFormat="1" applyFont="1" applyFill="1" applyBorder="1" applyProtection="1"/>
    <xf numFmtId="164" fontId="1" fillId="4" borderId="35" xfId="0" applyNumberFormat="1" applyFont="1" applyFill="1" applyBorder="1"/>
    <xf numFmtId="164" fontId="1" fillId="4" borderId="24" xfId="0" applyNumberFormat="1" applyFont="1" applyFill="1" applyBorder="1"/>
    <xf numFmtId="1" fontId="1" fillId="4" borderId="60" xfId="0" applyNumberFormat="1" applyFont="1" applyFill="1" applyBorder="1"/>
    <xf numFmtId="0" fontId="1" fillId="4" borderId="61" xfId="0" applyFont="1" applyFill="1" applyBorder="1"/>
    <xf numFmtId="0" fontId="1" fillId="4" borderId="32" xfId="0" applyFont="1" applyFill="1" applyBorder="1"/>
    <xf numFmtId="0" fontId="7" fillId="0" borderId="30" xfId="0" applyFont="1" applyBorder="1"/>
    <xf numFmtId="164" fontId="1" fillId="0" borderId="21" xfId="0" applyNumberFormat="1" applyFont="1" applyFill="1" applyBorder="1"/>
    <xf numFmtId="164" fontId="1" fillId="0" borderId="21" xfId="0" applyNumberFormat="1" applyFont="1" applyBorder="1"/>
    <xf numFmtId="0" fontId="7" fillId="0" borderId="11" xfId="0" applyFont="1" applyBorder="1"/>
    <xf numFmtId="1" fontId="1" fillId="4" borderId="7" xfId="0" applyNumberFormat="1" applyFont="1" applyFill="1" applyBorder="1"/>
    <xf numFmtId="1" fontId="1" fillId="4" borderId="8" xfId="0" applyNumberFormat="1" applyFont="1" applyFill="1" applyBorder="1"/>
    <xf numFmtId="164" fontId="1" fillId="0" borderId="62" xfId="0" applyNumberFormat="1" applyFont="1" applyFill="1" applyBorder="1"/>
    <xf numFmtId="49" fontId="7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  <xf numFmtId="164" fontId="1" fillId="0" borderId="6" xfId="0" applyNumberFormat="1" applyFont="1" applyFill="1" applyBorder="1"/>
    <xf numFmtId="49" fontId="7" fillId="0" borderId="2" xfId="0" applyNumberFormat="1" applyFont="1" applyBorder="1" applyAlignment="1">
      <alignment horizontal="right"/>
    </xf>
    <xf numFmtId="164" fontId="1" fillId="0" borderId="6" xfId="0" applyNumberFormat="1" applyFont="1" applyBorder="1"/>
    <xf numFmtId="0" fontId="1" fillId="0" borderId="4" xfId="0" applyFont="1" applyBorder="1"/>
    <xf numFmtId="1" fontId="1" fillId="0" borderId="53" xfId="0" applyNumberFormat="1" applyFont="1" applyBorder="1"/>
    <xf numFmtId="1" fontId="1" fillId="0" borderId="54" xfId="0" applyNumberFormat="1" applyFont="1" applyBorder="1"/>
    <xf numFmtId="164" fontId="1" fillId="0" borderId="63" xfId="0" applyNumberFormat="1" applyFont="1" applyBorder="1"/>
    <xf numFmtId="164" fontId="1" fillId="0" borderId="54" xfId="0" applyNumberFormat="1" applyFont="1" applyBorder="1"/>
    <xf numFmtId="1" fontId="1" fillId="4" borderId="12" xfId="0" applyNumberFormat="1" applyFont="1" applyFill="1" applyBorder="1"/>
    <xf numFmtId="1" fontId="1" fillId="4" borderId="13" xfId="0" applyNumberFormat="1" applyFont="1" applyFill="1" applyBorder="1"/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59" xfId="0" applyBorder="1"/>
    <xf numFmtId="0" fontId="0" fillId="0" borderId="32" xfId="0" applyBorder="1"/>
    <xf numFmtId="0" fontId="0" fillId="0" borderId="64" xfId="0" applyBorder="1"/>
    <xf numFmtId="0" fontId="0" fillId="0" borderId="35" xfId="0" applyBorder="1"/>
    <xf numFmtId="0" fontId="5" fillId="0" borderId="35" xfId="0" applyFont="1" applyBorder="1"/>
    <xf numFmtId="0" fontId="0" fillId="0" borderId="22" xfId="0" applyBorder="1"/>
    <xf numFmtId="0" fontId="3" fillId="0" borderId="24" xfId="0" applyFont="1" applyBorder="1"/>
    <xf numFmtId="0" fontId="3" fillId="0" borderId="0" xfId="0" applyFont="1"/>
    <xf numFmtId="49" fontId="7" fillId="0" borderId="22" xfId="0" applyNumberFormat="1" applyFont="1" applyFill="1" applyBorder="1" applyAlignment="1">
      <alignment horizontal="right"/>
    </xf>
    <xf numFmtId="164" fontId="1" fillId="0" borderId="22" xfId="0" applyNumberFormat="1" applyFont="1" applyFill="1" applyBorder="1"/>
    <xf numFmtId="164" fontId="1" fillId="0" borderId="27" xfId="0" applyNumberFormat="1" applyFont="1" applyFill="1" applyBorder="1"/>
    <xf numFmtId="49" fontId="7" fillId="0" borderId="22" xfId="0" applyNumberFormat="1" applyFont="1" applyBorder="1" applyAlignment="1">
      <alignment horizontal="right"/>
    </xf>
    <xf numFmtId="164" fontId="1" fillId="0" borderId="27" xfId="0" applyNumberFormat="1" applyFont="1" applyBorder="1"/>
    <xf numFmtId="0" fontId="7" fillId="0" borderId="24" xfId="0" applyFont="1" applyBorder="1"/>
    <xf numFmtId="49" fontId="10" fillId="0" borderId="65" xfId="0" applyNumberFormat="1" applyFont="1" applyFill="1" applyBorder="1" applyAlignment="1" applyProtection="1">
      <alignment horizontal="right"/>
    </xf>
    <xf numFmtId="165" fontId="9" fillId="0" borderId="65" xfId="0" applyNumberFormat="1" applyFont="1" applyFill="1" applyBorder="1" applyProtection="1"/>
    <xf numFmtId="165" fontId="9" fillId="0" borderId="35" xfId="0" applyNumberFormat="1" applyFont="1" applyFill="1" applyBorder="1" applyProtection="1"/>
    <xf numFmtId="164" fontId="1" fillId="0" borderId="66" xfId="0" applyNumberFormat="1" applyFont="1" applyBorder="1"/>
    <xf numFmtId="164" fontId="1" fillId="0" borderId="12" xfId="0" applyNumberFormat="1" applyFont="1" applyBorder="1"/>
    <xf numFmtId="164" fontId="0" fillId="0" borderId="7" xfId="0" applyNumberFormat="1" applyBorder="1"/>
    <xf numFmtId="0" fontId="0" fillId="0" borderId="8" xfId="0" applyBorder="1"/>
    <xf numFmtId="0" fontId="0" fillId="0" borderId="6" xfId="0" applyBorder="1"/>
    <xf numFmtId="0" fontId="7" fillId="0" borderId="34" xfId="0" applyFont="1" applyBorder="1"/>
    <xf numFmtId="0" fontId="7" fillId="0" borderId="5" xfId="0" applyFont="1" applyBorder="1"/>
    <xf numFmtId="0" fontId="7" fillId="0" borderId="63" xfId="0" applyFont="1" applyBorder="1"/>
    <xf numFmtId="0" fontId="1" fillId="0" borderId="1" xfId="0" applyFont="1" applyBorder="1"/>
    <xf numFmtId="1" fontId="1" fillId="0" borderId="6" xfId="1" applyNumberFormat="1" applyFont="1" applyBorder="1"/>
    <xf numFmtId="1" fontId="1" fillId="0" borderId="53" xfId="1" applyNumberFormat="1" applyFont="1" applyBorder="1"/>
    <xf numFmtId="1" fontId="1" fillId="0" borderId="2" xfId="1" applyNumberFormat="1" applyFont="1" applyBorder="1"/>
    <xf numFmtId="1" fontId="1" fillId="0" borderId="3" xfId="1" applyNumberFormat="1" applyFont="1" applyBorder="1"/>
    <xf numFmtId="164" fontId="1" fillId="0" borderId="53" xfId="1" applyNumberFormat="1" applyFont="1" applyBorder="1"/>
    <xf numFmtId="164" fontId="1" fillId="0" borderId="2" xfId="1" applyNumberFormat="1" applyFont="1" applyBorder="1"/>
    <xf numFmtId="0" fontId="0" fillId="0" borderId="13" xfId="0" applyBorder="1"/>
    <xf numFmtId="0" fontId="0" fillId="0" borderId="11" xfId="0" applyBorder="1"/>
    <xf numFmtId="0" fontId="7" fillId="0" borderId="56" xfId="0" applyFont="1" applyBorder="1"/>
    <xf numFmtId="1" fontId="1" fillId="0" borderId="34" xfId="1" applyNumberFormat="1" applyFont="1" applyBorder="1"/>
    <xf numFmtId="1" fontId="1" fillId="0" borderId="11" xfId="1" applyNumberFormat="1" applyFont="1" applyBorder="1"/>
    <xf numFmtId="1" fontId="1" fillId="0" borderId="55" xfId="1" applyNumberFormat="1" applyFont="1" applyBorder="1"/>
    <xf numFmtId="1" fontId="1" fillId="0" borderId="5" xfId="1" applyNumberFormat="1" applyFont="1" applyBorder="1"/>
    <xf numFmtId="1" fontId="1" fillId="0" borderId="67" xfId="1" applyNumberFormat="1" applyFont="1" applyBorder="1"/>
    <xf numFmtId="164" fontId="1" fillId="0" borderId="55" xfId="1" applyNumberFormat="1" applyFont="1" applyBorder="1"/>
    <xf numFmtId="164" fontId="1" fillId="0" borderId="5" xfId="1" applyNumberFormat="1" applyFont="1" applyBorder="1"/>
    <xf numFmtId="164" fontId="1" fillId="0" borderId="52" xfId="1" applyNumberFormat="1" applyFont="1" applyFill="1" applyBorder="1"/>
    <xf numFmtId="164" fontId="1" fillId="0" borderId="56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8" xfId="0" applyBorder="1"/>
    <xf numFmtId="0" fontId="0" fillId="0" borderId="45" xfId="0" applyBorder="1"/>
    <xf numFmtId="0" fontId="0" fillId="0" borderId="51" xfId="0" applyBorder="1"/>
    <xf numFmtId="0" fontId="0" fillId="0" borderId="2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/>
    <xf numFmtId="164" fontId="1" fillId="0" borderId="64" xfId="1" applyNumberFormat="1" applyFont="1" applyFill="1" applyBorder="1"/>
    <xf numFmtId="49" fontId="10" fillId="0" borderId="48" xfId="0" applyNumberFormat="1" applyFont="1" applyFill="1" applyBorder="1" applyAlignment="1" applyProtection="1">
      <alignment horizontal="right"/>
    </xf>
    <xf numFmtId="165" fontId="9" fillId="0" borderId="48" xfId="0" applyNumberFormat="1" applyFont="1" applyFill="1" applyBorder="1" applyProtection="1"/>
    <xf numFmtId="1" fontId="1" fillId="0" borderId="21" xfId="1" applyNumberFormat="1" applyFont="1" applyBorder="1"/>
    <xf numFmtId="1" fontId="1" fillId="0" borderId="27" xfId="1" applyNumberFormat="1" applyFont="1" applyBorder="1"/>
    <xf numFmtId="1" fontId="1" fillId="0" borderId="65" xfId="1" applyNumberFormat="1" applyFont="1" applyBorder="1"/>
    <xf numFmtId="1" fontId="1" fillId="0" borderId="22" xfId="1" applyNumberFormat="1" applyFont="1" applyBorder="1"/>
    <xf numFmtId="1" fontId="1" fillId="0" borderId="23" xfId="1" applyNumberFormat="1" applyFont="1" applyBorder="1"/>
    <xf numFmtId="164" fontId="1" fillId="0" borderId="66" xfId="1" applyNumberFormat="1" applyFont="1" applyBorder="1"/>
    <xf numFmtId="164" fontId="1" fillId="0" borderId="65" xfId="1" applyNumberFormat="1" applyFont="1" applyBorder="1"/>
    <xf numFmtId="164" fontId="1" fillId="0" borderId="22" xfId="1" applyNumberFormat="1" applyFont="1" applyBorder="1"/>
    <xf numFmtId="164" fontId="6" fillId="0" borderId="22" xfId="1" applyNumberFormat="1" applyFont="1" applyBorder="1"/>
    <xf numFmtId="0" fontId="1" fillId="10" borderId="14" xfId="0" applyFont="1" applyFill="1" applyBorder="1"/>
    <xf numFmtId="0" fontId="0" fillId="0" borderId="6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0" fillId="0" borderId="58" xfId="0" applyBorder="1"/>
    <xf numFmtId="0" fontId="0" fillId="0" borderId="24" xfId="0" applyBorder="1"/>
    <xf numFmtId="164" fontId="0" fillId="0" borderId="58" xfId="0" applyNumberFormat="1" applyBorder="1"/>
    <xf numFmtId="0" fontId="0" fillId="0" borderId="48" xfId="0" applyBorder="1"/>
    <xf numFmtId="164" fontId="0" fillId="0" borderId="45" xfId="0" applyNumberFormat="1" applyBorder="1"/>
    <xf numFmtId="164" fontId="1" fillId="0" borderId="62" xfId="1" applyNumberFormat="1" applyFont="1" applyFill="1" applyBorder="1"/>
    <xf numFmtId="1" fontId="1" fillId="0" borderId="1" xfId="1" applyNumberFormat="1" applyFont="1" applyBorder="1"/>
    <xf numFmtId="164" fontId="1" fillId="0" borderId="63" xfId="1" applyNumberFormat="1" applyFont="1" applyBorder="1"/>
    <xf numFmtId="0" fontId="0" fillId="0" borderId="16" xfId="0" applyFill="1" applyBorder="1"/>
    <xf numFmtId="0" fontId="0" fillId="0" borderId="60" xfId="0" applyBorder="1"/>
    <xf numFmtId="0" fontId="0" fillId="0" borderId="5" xfId="0" applyBorder="1"/>
    <xf numFmtId="0" fontId="0" fillId="0" borderId="54" xfId="0" applyBorder="1"/>
    <xf numFmtId="0" fontId="0" fillId="0" borderId="38" xfId="0" applyBorder="1"/>
    <xf numFmtId="0" fontId="1" fillId="0" borderId="24" xfId="0" applyFont="1" applyBorder="1"/>
    <xf numFmtId="0" fontId="0" fillId="0" borderId="6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164" fontId="0" fillId="0" borderId="48" xfId="0" applyNumberFormat="1" applyBorder="1"/>
    <xf numFmtId="164" fontId="1" fillId="2" borderId="12" xfId="0" applyNumberFormat="1" applyFont="1" applyFill="1" applyBorder="1"/>
    <xf numFmtId="0" fontId="0" fillId="0" borderId="25" xfId="0" applyBorder="1"/>
    <xf numFmtId="0" fontId="0" fillId="0" borderId="39" xfId="0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70" xfId="0" applyBorder="1" applyAlignment="1">
      <alignment horizontal="center"/>
    </xf>
    <xf numFmtId="0" fontId="7" fillId="0" borderId="66" xfId="0" applyFont="1" applyBorder="1"/>
    <xf numFmtId="164" fontId="1" fillId="7" borderId="12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1" fillId="0" borderId="7" xfId="0" applyFont="1" applyBorder="1"/>
    <xf numFmtId="0" fontId="1" fillId="11" borderId="8" xfId="0" applyFont="1" applyFill="1" applyBorder="1"/>
    <xf numFmtId="0" fontId="1" fillId="0" borderId="9" xfId="0" applyFont="1" applyBorder="1"/>
    <xf numFmtId="0" fontId="9" fillId="0" borderId="48" xfId="0" applyFont="1" applyFill="1" applyBorder="1" applyAlignment="1" applyProtection="1"/>
    <xf numFmtId="0" fontId="9" fillId="12" borderId="48" xfId="0" applyFont="1" applyFill="1" applyBorder="1" applyAlignment="1" applyProtection="1"/>
    <xf numFmtId="0" fontId="9" fillId="11" borderId="48" xfId="0" applyFont="1" applyFill="1" applyBorder="1" applyAlignment="1" applyProtection="1"/>
    <xf numFmtId="0" fontId="9" fillId="0" borderId="72" xfId="0" applyFont="1" applyFill="1" applyBorder="1" applyAlignment="1" applyProtection="1"/>
    <xf numFmtId="0" fontId="7" fillId="0" borderId="10" xfId="0" applyFont="1" applyBorder="1"/>
    <xf numFmtId="0" fontId="1" fillId="0" borderId="48" xfId="0" applyFont="1" applyFill="1" applyBorder="1" applyAlignment="1" applyProtection="1"/>
    <xf numFmtId="0" fontId="1" fillId="12" borderId="48" xfId="0" applyFont="1" applyFill="1" applyBorder="1" applyAlignment="1" applyProtection="1"/>
    <xf numFmtId="0" fontId="1" fillId="11" borderId="48" xfId="0" applyFont="1" applyFill="1" applyBorder="1" applyAlignment="1" applyProtection="1"/>
    <xf numFmtId="0" fontId="1" fillId="0" borderId="72" xfId="0" applyFont="1" applyFill="1" applyBorder="1" applyAlignment="1" applyProtection="1"/>
    <xf numFmtId="0" fontId="1" fillId="0" borderId="38" xfId="0" applyFont="1" applyBorder="1"/>
    <xf numFmtId="0" fontId="1" fillId="12" borderId="8" xfId="0" applyFont="1" applyFill="1" applyBorder="1"/>
    <xf numFmtId="0" fontId="1" fillId="0" borderId="28" xfId="0" applyFont="1" applyBorder="1"/>
    <xf numFmtId="0" fontId="7" fillId="0" borderId="28" xfId="0" applyFont="1" applyBorder="1"/>
    <xf numFmtId="0" fontId="7" fillId="0" borderId="9" xfId="0" applyFont="1" applyBorder="1"/>
    <xf numFmtId="0" fontId="1" fillId="0" borderId="63" xfId="0" applyFont="1" applyBorder="1"/>
    <xf numFmtId="0" fontId="1" fillId="0" borderId="37" xfId="0" applyFont="1" applyBorder="1"/>
    <xf numFmtId="0" fontId="1" fillId="0" borderId="54" xfId="0" applyFont="1" applyBorder="1"/>
    <xf numFmtId="0" fontId="1" fillId="0" borderId="2" xfId="0" applyFont="1" applyBorder="1"/>
    <xf numFmtId="164" fontId="1" fillId="8" borderId="12" xfId="0" applyNumberFormat="1" applyFont="1" applyFill="1" applyBorder="1"/>
    <xf numFmtId="0" fontId="7" fillId="0" borderId="73" xfId="0" applyFont="1" applyBorder="1"/>
    <xf numFmtId="0" fontId="7" fillId="0" borderId="74" xfId="0" applyFont="1" applyBorder="1"/>
    <xf numFmtId="0" fontId="7" fillId="0" borderId="75" xfId="0" applyFont="1" applyBorder="1"/>
    <xf numFmtId="0" fontId="1" fillId="0" borderId="73" xfId="0" applyFont="1" applyBorder="1"/>
    <xf numFmtId="0" fontId="1" fillId="0" borderId="74" xfId="0" applyFont="1" applyBorder="1"/>
    <xf numFmtId="0" fontId="1" fillId="0" borderId="20" xfId="0" applyFont="1" applyBorder="1"/>
    <xf numFmtId="0" fontId="7" fillId="0" borderId="20" xfId="0" applyFont="1" applyBorder="1"/>
    <xf numFmtId="0" fontId="9" fillId="0" borderId="35" xfId="0" applyFont="1" applyFill="1" applyBorder="1"/>
    <xf numFmtId="0" fontId="9" fillId="0" borderId="35" xfId="0" applyFont="1" applyFill="1" applyBorder="1" applyAlignment="1" applyProtection="1"/>
    <xf numFmtId="0" fontId="9" fillId="0" borderId="65" xfId="0" applyFont="1" applyFill="1" applyBorder="1"/>
    <xf numFmtId="0" fontId="1" fillId="0" borderId="75" xfId="0" applyFont="1" applyBorder="1"/>
    <xf numFmtId="0" fontId="1" fillId="0" borderId="76" xfId="0" applyFont="1" applyBorder="1"/>
    <xf numFmtId="0" fontId="1" fillId="0" borderId="21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77" xfId="0" applyFont="1" applyBorder="1"/>
    <xf numFmtId="0" fontId="13" fillId="0" borderId="0" xfId="0" applyFont="1" applyFill="1" applyBorder="1"/>
    <xf numFmtId="0" fontId="13" fillId="0" borderId="55" xfId="0" applyFont="1" applyFill="1" applyBorder="1"/>
    <xf numFmtId="0" fontId="0" fillId="0" borderId="21" xfId="0" applyBorder="1"/>
    <xf numFmtId="0" fontId="7" fillId="0" borderId="64" xfId="0" applyFont="1" applyBorder="1"/>
    <xf numFmtId="0" fontId="7" fillId="0" borderId="35" xfId="0" applyFont="1" applyBorder="1"/>
    <xf numFmtId="0" fontId="14" fillId="0" borderId="0" xfId="0" applyFont="1"/>
    <xf numFmtId="0" fontId="6" fillId="0" borderId="0" xfId="0" applyFont="1"/>
    <xf numFmtId="0" fontId="15" fillId="0" borderId="0" xfId="0" applyFont="1"/>
  </cellXfs>
  <cellStyles count="2">
    <cellStyle name="Normální" xfId="0" builtinId="0"/>
    <cellStyle name="normální_leden" xfId="1" xr:uid="{D2C4E06C-184F-423A-8CE4-7EAC0DA73C2C}"/>
  </cellStyles>
  <dxfs count="8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lednu 201</a:t>
            </a:r>
            <a:r>
              <a:rPr lang="cs-CZ"/>
              <a:t>8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'[1]leden ručně'!$U$64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ručně'!$U$65:$U$95</c:f>
              <c:numCache>
                <c:formatCode>0.0</c:formatCode>
                <c:ptCount val="31"/>
                <c:pt idx="0">
                  <c:v>8.6</c:v>
                </c:pt>
                <c:pt idx="1">
                  <c:v>6.7</c:v>
                </c:pt>
                <c:pt idx="2">
                  <c:v>5.0999999999999996</c:v>
                </c:pt>
                <c:pt idx="3">
                  <c:v>7.9</c:v>
                </c:pt>
                <c:pt idx="4">
                  <c:v>8.6</c:v>
                </c:pt>
                <c:pt idx="5">
                  <c:v>11.3</c:v>
                </c:pt>
                <c:pt idx="6">
                  <c:v>7.8</c:v>
                </c:pt>
                <c:pt idx="7">
                  <c:v>4.2</c:v>
                </c:pt>
                <c:pt idx="8">
                  <c:v>11.4</c:v>
                </c:pt>
                <c:pt idx="9">
                  <c:v>10.8</c:v>
                </c:pt>
                <c:pt idx="10">
                  <c:v>4.5</c:v>
                </c:pt>
                <c:pt idx="11">
                  <c:v>4.2</c:v>
                </c:pt>
                <c:pt idx="12">
                  <c:v>0.3</c:v>
                </c:pt>
                <c:pt idx="13">
                  <c:v>-1.6</c:v>
                </c:pt>
                <c:pt idx="14">
                  <c:v>-0.6</c:v>
                </c:pt>
                <c:pt idx="15">
                  <c:v>1.4</c:v>
                </c:pt>
                <c:pt idx="16">
                  <c:v>3.1</c:v>
                </c:pt>
                <c:pt idx="17">
                  <c:v>4.8</c:v>
                </c:pt>
                <c:pt idx="18">
                  <c:v>5.0999999999999996</c:v>
                </c:pt>
                <c:pt idx="19">
                  <c:v>2</c:v>
                </c:pt>
                <c:pt idx="20">
                  <c:v>1.5</c:v>
                </c:pt>
                <c:pt idx="21">
                  <c:v>-0.2</c:v>
                </c:pt>
                <c:pt idx="22">
                  <c:v>1.4</c:v>
                </c:pt>
                <c:pt idx="23">
                  <c:v>4.8</c:v>
                </c:pt>
                <c:pt idx="24">
                  <c:v>7.4</c:v>
                </c:pt>
                <c:pt idx="25">
                  <c:v>5.2</c:v>
                </c:pt>
                <c:pt idx="26">
                  <c:v>5</c:v>
                </c:pt>
                <c:pt idx="27">
                  <c:v>7.1</c:v>
                </c:pt>
                <c:pt idx="28">
                  <c:v>9.5</c:v>
                </c:pt>
                <c:pt idx="29">
                  <c:v>8.5</c:v>
                </c:pt>
                <c:pt idx="30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DE-40C1-A3BF-A4861FA9BCBC}"/>
            </c:ext>
          </c:extLst>
        </c:ser>
        <c:ser>
          <c:idx val="1"/>
          <c:order val="1"/>
          <c:tx>
            <c:strRef>
              <c:f>'[1]leden ručně'!$V$64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ručně'!$V$65:$V$95</c:f>
              <c:numCache>
                <c:formatCode>0.0</c:formatCode>
                <c:ptCount val="31"/>
                <c:pt idx="0">
                  <c:v>4.6749999999999998</c:v>
                </c:pt>
                <c:pt idx="1">
                  <c:v>2.9249999999999998</c:v>
                </c:pt>
                <c:pt idx="2">
                  <c:v>3.35</c:v>
                </c:pt>
                <c:pt idx="3">
                  <c:v>5.5749999999999993</c:v>
                </c:pt>
                <c:pt idx="4">
                  <c:v>7.375</c:v>
                </c:pt>
                <c:pt idx="5">
                  <c:v>7.875</c:v>
                </c:pt>
                <c:pt idx="6">
                  <c:v>5.2249999999999996</c:v>
                </c:pt>
                <c:pt idx="7">
                  <c:v>0.95</c:v>
                </c:pt>
                <c:pt idx="8">
                  <c:v>5.65</c:v>
                </c:pt>
                <c:pt idx="9">
                  <c:v>5.05</c:v>
                </c:pt>
                <c:pt idx="10">
                  <c:v>3.95</c:v>
                </c:pt>
                <c:pt idx="11">
                  <c:v>0.6</c:v>
                </c:pt>
                <c:pt idx="12">
                  <c:v>-1.2749999999999999</c:v>
                </c:pt>
                <c:pt idx="13">
                  <c:v>-4.2750000000000004</c:v>
                </c:pt>
                <c:pt idx="14">
                  <c:v>-3.25</c:v>
                </c:pt>
                <c:pt idx="15">
                  <c:v>-0.5</c:v>
                </c:pt>
                <c:pt idx="16">
                  <c:v>0.42500000000000004</c:v>
                </c:pt>
                <c:pt idx="17">
                  <c:v>2.4749999999999996</c:v>
                </c:pt>
                <c:pt idx="18">
                  <c:v>1.65</c:v>
                </c:pt>
                <c:pt idx="19">
                  <c:v>-2.4999999999999981E-2</c:v>
                </c:pt>
                <c:pt idx="20">
                  <c:v>-1.625</c:v>
                </c:pt>
                <c:pt idx="21">
                  <c:v>-1.9249999999999998</c:v>
                </c:pt>
                <c:pt idx="22">
                  <c:v>0.6</c:v>
                </c:pt>
                <c:pt idx="23">
                  <c:v>4.1749999999999998</c:v>
                </c:pt>
                <c:pt idx="24">
                  <c:v>4.95</c:v>
                </c:pt>
                <c:pt idx="25">
                  <c:v>2.5999999999999996</c:v>
                </c:pt>
                <c:pt idx="26">
                  <c:v>2.4250000000000003</c:v>
                </c:pt>
                <c:pt idx="27">
                  <c:v>5.0749999999999993</c:v>
                </c:pt>
                <c:pt idx="28">
                  <c:v>7.9999999999999991</c:v>
                </c:pt>
                <c:pt idx="29">
                  <c:v>2.5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DE-40C1-A3BF-A4861FA9BCBC}"/>
            </c:ext>
          </c:extLst>
        </c:ser>
        <c:ser>
          <c:idx val="2"/>
          <c:order val="2"/>
          <c:tx>
            <c:strRef>
              <c:f>'[1]leden ručně'!$W$64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ručně'!$W$65:$W$95</c:f>
              <c:numCache>
                <c:formatCode>0.0</c:formatCode>
                <c:ptCount val="31"/>
                <c:pt idx="0">
                  <c:v>-0.91300000000000014</c:v>
                </c:pt>
                <c:pt idx="1">
                  <c:v>-0.95827083333333352</c:v>
                </c:pt>
                <c:pt idx="2">
                  <c:v>-0.98850000000000005</c:v>
                </c:pt>
                <c:pt idx="3">
                  <c:v>-1.0358958333333335</c:v>
                </c:pt>
                <c:pt idx="4">
                  <c:v>-1.1086458333333333</c:v>
                </c:pt>
                <c:pt idx="5">
                  <c:v>-1.1345416666666668</c:v>
                </c:pt>
                <c:pt idx="6">
                  <c:v>-1.1588749999999999</c:v>
                </c:pt>
                <c:pt idx="7">
                  <c:v>-1.193875</c:v>
                </c:pt>
                <c:pt idx="8">
                  <c:v>-1.2480208333333336</c:v>
                </c:pt>
                <c:pt idx="9">
                  <c:v>-1.2990000000000002</c:v>
                </c:pt>
                <c:pt idx="10">
                  <c:v>-1.3655833333333334</c:v>
                </c:pt>
                <c:pt idx="11">
                  <c:v>-1.4340000000000002</c:v>
                </c:pt>
                <c:pt idx="12">
                  <c:v>-1.4902916666666668</c:v>
                </c:pt>
                <c:pt idx="13">
                  <c:v>-1.5277708333333335</c:v>
                </c:pt>
                <c:pt idx="14">
                  <c:v>-1.5496041666666669</c:v>
                </c:pt>
                <c:pt idx="15">
                  <c:v>-1.5561875000000001</c:v>
                </c:pt>
                <c:pt idx="16">
                  <c:v>-1.5835000000000004</c:v>
                </c:pt>
                <c:pt idx="17">
                  <c:v>-1.592125</c:v>
                </c:pt>
                <c:pt idx="18">
                  <c:v>-1.6163434139784949</c:v>
                </c:pt>
                <c:pt idx="19">
                  <c:v>-1.6145201612903231</c:v>
                </c:pt>
                <c:pt idx="20">
                  <c:v>-1.6082177419354842</c:v>
                </c:pt>
                <c:pt idx="21">
                  <c:v>-1.6077278225806457</c:v>
                </c:pt>
                <c:pt idx="22">
                  <c:v>-1.5634045698924735</c:v>
                </c:pt>
                <c:pt idx="23">
                  <c:v>-1.5226021505376353</c:v>
                </c:pt>
                <c:pt idx="24">
                  <c:v>-1.4606747311827961</c:v>
                </c:pt>
                <c:pt idx="25">
                  <c:v>-1.4171848118279575</c:v>
                </c:pt>
                <c:pt idx="26">
                  <c:v>-1.4225490591397851</c:v>
                </c:pt>
                <c:pt idx="27">
                  <c:v>-1.4225174731182797</c:v>
                </c:pt>
                <c:pt idx="28">
                  <c:v>-1.4112358870967747</c:v>
                </c:pt>
                <c:pt idx="29">
                  <c:v>-1.4082043010752692</c:v>
                </c:pt>
                <c:pt idx="30">
                  <c:v>-1.3940477150537633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DE-40C1-A3BF-A4861FA9BCBC}"/>
            </c:ext>
          </c:extLst>
        </c:ser>
        <c:ser>
          <c:idx val="3"/>
          <c:order val="3"/>
          <c:tx>
            <c:strRef>
              <c:f>'[1]leden ručně'!$X$64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ručně'!$X$65:$X$95</c:f>
              <c:numCache>
                <c:formatCode>0.0</c:formatCode>
                <c:ptCount val="31"/>
                <c:pt idx="0">
                  <c:v>1.9</c:v>
                </c:pt>
                <c:pt idx="1">
                  <c:v>-5</c:v>
                </c:pt>
                <c:pt idx="2">
                  <c:v>-3.5</c:v>
                </c:pt>
                <c:pt idx="3">
                  <c:v>1.3</c:v>
                </c:pt>
                <c:pt idx="4">
                  <c:v>3.4</c:v>
                </c:pt>
                <c:pt idx="5">
                  <c:v>4.4000000000000004</c:v>
                </c:pt>
                <c:pt idx="6">
                  <c:v>1.9</c:v>
                </c:pt>
                <c:pt idx="7">
                  <c:v>0.6</c:v>
                </c:pt>
                <c:pt idx="8">
                  <c:v>-1.1000000000000001</c:v>
                </c:pt>
                <c:pt idx="9">
                  <c:v>4.3</c:v>
                </c:pt>
                <c:pt idx="10">
                  <c:v>2.2999999999999998</c:v>
                </c:pt>
                <c:pt idx="11">
                  <c:v>-0.3</c:v>
                </c:pt>
                <c:pt idx="12">
                  <c:v>-2.1</c:v>
                </c:pt>
                <c:pt idx="13">
                  <c:v>-8.6999999999999993</c:v>
                </c:pt>
                <c:pt idx="14">
                  <c:v>-10.4</c:v>
                </c:pt>
                <c:pt idx="15">
                  <c:v>-4.7</c:v>
                </c:pt>
                <c:pt idx="16">
                  <c:v>-6.2</c:v>
                </c:pt>
                <c:pt idx="17">
                  <c:v>-6.2</c:v>
                </c:pt>
                <c:pt idx="18">
                  <c:v>-2.5</c:v>
                </c:pt>
                <c:pt idx="19">
                  <c:v>-6.1</c:v>
                </c:pt>
                <c:pt idx="20">
                  <c:v>-2.9</c:v>
                </c:pt>
                <c:pt idx="21">
                  <c:v>-6.9</c:v>
                </c:pt>
                <c:pt idx="22">
                  <c:v>-2.6</c:v>
                </c:pt>
                <c:pt idx="23">
                  <c:v>-2</c:v>
                </c:pt>
                <c:pt idx="24">
                  <c:v>2.1</c:v>
                </c:pt>
                <c:pt idx="25">
                  <c:v>-1.4</c:v>
                </c:pt>
                <c:pt idx="26">
                  <c:v>-3.3</c:v>
                </c:pt>
                <c:pt idx="27">
                  <c:v>-0.5</c:v>
                </c:pt>
                <c:pt idx="28">
                  <c:v>4.7</c:v>
                </c:pt>
                <c:pt idx="29">
                  <c:v>-2</c:v>
                </c:pt>
                <c:pt idx="30">
                  <c:v>-6.5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DE-40C1-A3BF-A4861FA9B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17344"/>
        <c:axId val="66620416"/>
      </c:lineChart>
      <c:catAx>
        <c:axId val="666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620416"/>
        <c:crossesAt val="-25"/>
        <c:auto val="1"/>
        <c:lblAlgn val="ctr"/>
        <c:lblOffset val="100"/>
        <c:noMultiLvlLbl val="0"/>
      </c:catAx>
      <c:valAx>
        <c:axId val="66620416"/>
        <c:scaling>
          <c:orientation val="minMax"/>
          <c:max val="15"/>
          <c:min val="-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6617344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lednu</a:t>
            </a:r>
            <a:r>
              <a:rPr lang="en-US"/>
              <a:t> 201</a:t>
            </a:r>
            <a:r>
              <a:rPr lang="cs-CZ"/>
              <a:t>8</a:t>
            </a:r>
            <a:endParaRPr lang="en-US"/>
          </a:p>
        </c:rich>
      </c:tx>
      <c:layout>
        <c:manualLayout>
          <c:xMode val="edge"/>
          <c:yMode val="edge"/>
          <c:x val="0.32302493565444851"/>
          <c:y val="1.2675325366619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2269199292044819"/>
          <c:w val="0.85415025993421945"/>
          <c:h val="0.807309437628129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'[1]leden ručně'!$AG$64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'[1]leden ručně'!$AD$65:$AD$95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ručně'!$AG$65:$AG$95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  <c:pt idx="6">
                  <c:v>1.9</c:v>
                </c:pt>
                <c:pt idx="7">
                  <c:v>0.9</c:v>
                </c:pt>
                <c:pt idx="8">
                  <c:v>0</c:v>
                </c:pt>
                <c:pt idx="9">
                  <c:v>15.2</c:v>
                </c:pt>
                <c:pt idx="10">
                  <c:v>0.9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2.2000000000000002</c:v>
                </c:pt>
                <c:pt idx="16">
                  <c:v>0.7</c:v>
                </c:pt>
                <c:pt idx="17">
                  <c:v>0.2</c:v>
                </c:pt>
                <c:pt idx="18">
                  <c:v>0.8</c:v>
                </c:pt>
                <c:pt idx="19">
                  <c:v>0.4</c:v>
                </c:pt>
                <c:pt idx="20">
                  <c:v>3.8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1.2</c:v>
                </c:pt>
                <c:pt idx="28">
                  <c:v>0.7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2-4076-BBCB-C64E8E551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09312"/>
        <c:axId val="77707136"/>
      </c:barChart>
      <c:lineChart>
        <c:grouping val="standard"/>
        <c:varyColors val="0"/>
        <c:ser>
          <c:idx val="0"/>
          <c:order val="0"/>
          <c:tx>
            <c:strRef>
              <c:f>'[1]leden ručně'!$AE$64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ručně'!$AD$65:$AD$95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ručně'!$AE$65:$AE$95</c:f>
              <c:numCache>
                <c:formatCode>General</c:formatCode>
                <c:ptCount val="31"/>
                <c:pt idx="0">
                  <c:v>966.2</c:v>
                </c:pt>
                <c:pt idx="1">
                  <c:v>970.6</c:v>
                </c:pt>
                <c:pt idx="2">
                  <c:v>957.2</c:v>
                </c:pt>
                <c:pt idx="3">
                  <c:v>960.7</c:v>
                </c:pt>
                <c:pt idx="4">
                  <c:v>963.9</c:v>
                </c:pt>
                <c:pt idx="5">
                  <c:v>970.9</c:v>
                </c:pt>
                <c:pt idx="6">
                  <c:v>985.2</c:v>
                </c:pt>
                <c:pt idx="7">
                  <c:v>986.8</c:v>
                </c:pt>
                <c:pt idx="8">
                  <c:v>986</c:v>
                </c:pt>
                <c:pt idx="9">
                  <c:v>974</c:v>
                </c:pt>
                <c:pt idx="10">
                  <c:v>976.5</c:v>
                </c:pt>
                <c:pt idx="11">
                  <c:v>985.7</c:v>
                </c:pt>
                <c:pt idx="12">
                  <c:v>986.2</c:v>
                </c:pt>
                <c:pt idx="13">
                  <c:v>986.2</c:v>
                </c:pt>
                <c:pt idx="14">
                  <c:v>983.9</c:v>
                </c:pt>
                <c:pt idx="15">
                  <c:v>962.3</c:v>
                </c:pt>
                <c:pt idx="16">
                  <c:v>960.9</c:v>
                </c:pt>
                <c:pt idx="17">
                  <c:v>965.7</c:v>
                </c:pt>
                <c:pt idx="18">
                  <c:v>968.2</c:v>
                </c:pt>
                <c:pt idx="19">
                  <c:v>968.8</c:v>
                </c:pt>
                <c:pt idx="20">
                  <c:v>974.9</c:v>
                </c:pt>
                <c:pt idx="21">
                  <c:v>974</c:v>
                </c:pt>
                <c:pt idx="22">
                  <c:v>985</c:v>
                </c:pt>
                <c:pt idx="23">
                  <c:v>983.7</c:v>
                </c:pt>
                <c:pt idx="24">
                  <c:v>979.7</c:v>
                </c:pt>
                <c:pt idx="25">
                  <c:v>980.7</c:v>
                </c:pt>
                <c:pt idx="26">
                  <c:v>990.5</c:v>
                </c:pt>
                <c:pt idx="27">
                  <c:v>986.8</c:v>
                </c:pt>
                <c:pt idx="28">
                  <c:v>981.4</c:v>
                </c:pt>
                <c:pt idx="29">
                  <c:v>984.3</c:v>
                </c:pt>
                <c:pt idx="30">
                  <c:v>979.2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2-4076-BBCB-C64E8E551A51}"/>
            </c:ext>
          </c:extLst>
        </c:ser>
        <c:ser>
          <c:idx val="1"/>
          <c:order val="1"/>
          <c:tx>
            <c:strRef>
              <c:f>'[1]leden ručně'!$AF$64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ručně'!$AD$65:$AD$95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ručně'!$AF$65:$AF$95</c:f>
              <c:numCache>
                <c:formatCode>General</c:formatCode>
                <c:ptCount val="31"/>
                <c:pt idx="0">
                  <c:v>965.2</c:v>
                </c:pt>
                <c:pt idx="1">
                  <c:v>964.6</c:v>
                </c:pt>
                <c:pt idx="2">
                  <c:v>954.3</c:v>
                </c:pt>
                <c:pt idx="3">
                  <c:v>958.7</c:v>
                </c:pt>
                <c:pt idx="4">
                  <c:v>960.8</c:v>
                </c:pt>
                <c:pt idx="5">
                  <c:v>967.3</c:v>
                </c:pt>
                <c:pt idx="6">
                  <c:v>976</c:v>
                </c:pt>
                <c:pt idx="7">
                  <c:v>988.2</c:v>
                </c:pt>
                <c:pt idx="8">
                  <c:v>978</c:v>
                </c:pt>
                <c:pt idx="9">
                  <c:v>971.6</c:v>
                </c:pt>
                <c:pt idx="10">
                  <c:v>972</c:v>
                </c:pt>
                <c:pt idx="11">
                  <c:v>981.2</c:v>
                </c:pt>
                <c:pt idx="12">
                  <c:v>985.9</c:v>
                </c:pt>
                <c:pt idx="13">
                  <c:v>985.3</c:v>
                </c:pt>
                <c:pt idx="14">
                  <c:v>975.3</c:v>
                </c:pt>
                <c:pt idx="15">
                  <c:v>951.8</c:v>
                </c:pt>
                <c:pt idx="16">
                  <c:v>953.7</c:v>
                </c:pt>
                <c:pt idx="17">
                  <c:v>956</c:v>
                </c:pt>
                <c:pt idx="18">
                  <c:v>962.5</c:v>
                </c:pt>
                <c:pt idx="19">
                  <c:v>963.8</c:v>
                </c:pt>
                <c:pt idx="20">
                  <c:v>962.3</c:v>
                </c:pt>
                <c:pt idx="21">
                  <c:v>971.1</c:v>
                </c:pt>
                <c:pt idx="22">
                  <c:v>977.3</c:v>
                </c:pt>
                <c:pt idx="23">
                  <c:v>981.3</c:v>
                </c:pt>
                <c:pt idx="24">
                  <c:v>977.1</c:v>
                </c:pt>
                <c:pt idx="25">
                  <c:v>976.3</c:v>
                </c:pt>
                <c:pt idx="26">
                  <c:v>986.2</c:v>
                </c:pt>
                <c:pt idx="27">
                  <c:v>986.3</c:v>
                </c:pt>
                <c:pt idx="28">
                  <c:v>979.6</c:v>
                </c:pt>
                <c:pt idx="29">
                  <c:v>980.5</c:v>
                </c:pt>
                <c:pt idx="30">
                  <c:v>970.2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F2-4076-BBCB-C64E8E551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3424"/>
        <c:axId val="77705216"/>
      </c:lineChart>
      <c:catAx>
        <c:axId val="777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705216"/>
        <c:crossesAt val="940"/>
        <c:auto val="1"/>
        <c:lblAlgn val="ctr"/>
        <c:lblOffset val="100"/>
        <c:noMultiLvlLbl val="0"/>
      </c:catAx>
      <c:valAx>
        <c:axId val="77705216"/>
        <c:scaling>
          <c:orientation val="minMax"/>
          <c:max val="1000"/>
          <c:min val="9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7703424"/>
        <c:crosses val="autoZero"/>
        <c:crossBetween val="between"/>
      </c:valAx>
      <c:valAx>
        <c:axId val="77707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709312"/>
        <c:crosses val="max"/>
        <c:crossBetween val="between"/>
      </c:valAx>
      <c:catAx>
        <c:axId val="777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7071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lednu</a:t>
            </a:r>
            <a:r>
              <a:rPr lang="en-US"/>
              <a:t> 201</a:t>
            </a:r>
            <a:r>
              <a:rPr lang="cs-CZ"/>
              <a:t>8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493131549462821E-2"/>
          <c:y val="8.2553462592819593E-2"/>
          <c:w val="0.91376637543673656"/>
          <c:h val="0.80730943762812712"/>
        </c:manualLayout>
      </c:layout>
      <c:lineChart>
        <c:grouping val="standard"/>
        <c:varyColors val="0"/>
        <c:ser>
          <c:idx val="0"/>
          <c:order val="0"/>
          <c:tx>
            <c:strRef>
              <c:f>'[1]leden ručně'!$AJ$64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ručně'!$AI$65:$AI$95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ručně'!$AJ$65:$AJ$95</c:f>
              <c:numCache>
                <c:formatCode>General</c:formatCode>
                <c:ptCount val="31"/>
                <c:pt idx="0">
                  <c:v>89</c:v>
                </c:pt>
                <c:pt idx="1">
                  <c:v>98</c:v>
                </c:pt>
                <c:pt idx="2">
                  <c:v>97</c:v>
                </c:pt>
                <c:pt idx="3">
                  <c:v>86</c:v>
                </c:pt>
                <c:pt idx="4">
                  <c:v>94</c:v>
                </c:pt>
                <c:pt idx="5">
                  <c:v>95</c:v>
                </c:pt>
                <c:pt idx="6">
                  <c:v>98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98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90</c:v>
                </c:pt>
                <c:pt idx="17">
                  <c:v>96</c:v>
                </c:pt>
                <c:pt idx="18">
                  <c:v>95</c:v>
                </c:pt>
                <c:pt idx="19">
                  <c:v>98</c:v>
                </c:pt>
                <c:pt idx="20">
                  <c:v>99</c:v>
                </c:pt>
                <c:pt idx="21">
                  <c:v>98</c:v>
                </c:pt>
                <c:pt idx="22">
                  <c:v>94</c:v>
                </c:pt>
                <c:pt idx="23">
                  <c:v>94</c:v>
                </c:pt>
                <c:pt idx="24">
                  <c:v>81</c:v>
                </c:pt>
                <c:pt idx="25">
                  <c:v>87</c:v>
                </c:pt>
                <c:pt idx="26">
                  <c:v>97</c:v>
                </c:pt>
                <c:pt idx="27">
                  <c:v>100</c:v>
                </c:pt>
                <c:pt idx="28">
                  <c:v>94</c:v>
                </c:pt>
                <c:pt idx="29">
                  <c:v>88</c:v>
                </c:pt>
                <c:pt idx="30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1-4541-A6EA-FFF1B2FCE0FC}"/>
            </c:ext>
          </c:extLst>
        </c:ser>
        <c:ser>
          <c:idx val="1"/>
          <c:order val="1"/>
          <c:tx>
            <c:strRef>
              <c:f>'[1]leden ručně'!$AK$64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'[1]leden ručně'!$AI$65:$AI$95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ručně'!$AK$65:$AK$95</c:f>
              <c:numCache>
                <c:formatCode>General</c:formatCode>
                <c:ptCount val="31"/>
                <c:pt idx="0">
                  <c:v>72</c:v>
                </c:pt>
                <c:pt idx="1">
                  <c:v>73</c:v>
                </c:pt>
                <c:pt idx="2">
                  <c:v>61</c:v>
                </c:pt>
                <c:pt idx="3">
                  <c:v>66</c:v>
                </c:pt>
                <c:pt idx="4">
                  <c:v>61</c:v>
                </c:pt>
                <c:pt idx="5">
                  <c:v>71</c:v>
                </c:pt>
                <c:pt idx="6">
                  <c:v>87</c:v>
                </c:pt>
                <c:pt idx="7">
                  <c:v>95</c:v>
                </c:pt>
                <c:pt idx="8">
                  <c:v>59</c:v>
                </c:pt>
                <c:pt idx="9">
                  <c:v>60</c:v>
                </c:pt>
                <c:pt idx="10">
                  <c:v>92</c:v>
                </c:pt>
                <c:pt idx="11">
                  <c:v>97</c:v>
                </c:pt>
                <c:pt idx="12">
                  <c:v>83</c:v>
                </c:pt>
                <c:pt idx="13">
                  <c:v>86</c:v>
                </c:pt>
                <c:pt idx="14">
                  <c:v>66</c:v>
                </c:pt>
                <c:pt idx="15">
                  <c:v>68</c:v>
                </c:pt>
                <c:pt idx="16">
                  <c:v>74</c:v>
                </c:pt>
                <c:pt idx="17">
                  <c:v>69</c:v>
                </c:pt>
                <c:pt idx="18">
                  <c:v>63</c:v>
                </c:pt>
                <c:pt idx="19">
                  <c:v>80</c:v>
                </c:pt>
                <c:pt idx="20">
                  <c:v>76</c:v>
                </c:pt>
                <c:pt idx="21">
                  <c:v>71</c:v>
                </c:pt>
                <c:pt idx="22">
                  <c:v>66</c:v>
                </c:pt>
                <c:pt idx="23">
                  <c:v>78</c:v>
                </c:pt>
                <c:pt idx="24">
                  <c:v>54</c:v>
                </c:pt>
                <c:pt idx="25">
                  <c:v>57</c:v>
                </c:pt>
                <c:pt idx="26">
                  <c:v>83</c:v>
                </c:pt>
                <c:pt idx="27">
                  <c:v>72</c:v>
                </c:pt>
                <c:pt idx="28">
                  <c:v>75</c:v>
                </c:pt>
                <c:pt idx="29">
                  <c:v>55</c:v>
                </c:pt>
                <c:pt idx="30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1-4541-A6EA-FFF1B2FCE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8384"/>
        <c:axId val="77809920"/>
      </c:lineChart>
      <c:catAx>
        <c:axId val="778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809920"/>
        <c:crosses val="autoZero"/>
        <c:auto val="1"/>
        <c:lblAlgn val="ctr"/>
        <c:lblOffset val="100"/>
        <c:noMultiLvlLbl val="0"/>
      </c:catAx>
      <c:valAx>
        <c:axId val="7780992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80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BD0738-EB8C-4E00-9D43-8D13ED75DBC4}">
  <sheetPr/>
  <sheetViews>
    <sheetView tabSelected="1" zoomScale="118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1BB857C-A2D4-46FD-BD37-615306BE8B63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7FD9D1-4495-48E4-9164-0EF726DEFB40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408F25F-EC6F-4801-AC0D-6EBC6BB829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35DAD7B-2504-4040-83A4-2AAF147FCC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4D3E7C5-F259-4E78-B62E-EC02F7E972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List4"/>
      <sheetName val="výkazy "/>
      <sheetName val="kritéria "/>
      <sheetName val="bouřky  "/>
      <sheetName val="7-14-21"/>
      <sheetName val="přep. 10 min."/>
      <sheetName val="HMÚ leden "/>
      <sheetName val="leden ručně"/>
      <sheetName val="Graf1-1"/>
      <sheetName val="Graf1-2 "/>
      <sheetName val="Graf1-3 "/>
      <sheetName val="HMÚ únor"/>
      <sheetName val="únor ručně "/>
      <sheetName val="Graf2-1"/>
      <sheetName val="Graf2-2"/>
      <sheetName val="Graf2-3"/>
      <sheetName val="HMÚ březen"/>
      <sheetName val="březen ručně  "/>
      <sheetName val="Graf 3-1"/>
      <sheetName val="Graf 3-2"/>
      <sheetName val="Graf 3-3"/>
      <sheetName val="HMÚ duben"/>
      <sheetName val="duben ručně  "/>
      <sheetName val="Graf 4-1"/>
      <sheetName val="Graf 4-2"/>
      <sheetName val="Graf 4-3"/>
      <sheetName val="HMÚ květen"/>
      <sheetName val="květen ručně "/>
      <sheetName val="Graf 5-1"/>
      <sheetName val="Graf 5-2"/>
      <sheetName val="Graf 5-3"/>
      <sheetName val="HMÚ červen"/>
      <sheetName val="červen ručně  "/>
      <sheetName val="Graf 6-1"/>
      <sheetName val="Graf 6-2"/>
      <sheetName val="Graf 6-3"/>
      <sheetName val="HMÚ červenec"/>
      <sheetName val="červenec ručně   "/>
      <sheetName val="Graf 7-1"/>
      <sheetName val="Graf 7-2"/>
      <sheetName val="Graf 7-3"/>
      <sheetName val="HMÚ srpen"/>
      <sheetName val="srpen ručně  "/>
      <sheetName val="Graf 8-1"/>
      <sheetName val="Graf 8-2"/>
      <sheetName val="Graf 8-3"/>
      <sheetName val="HMÚ září"/>
      <sheetName val="září ručně  "/>
      <sheetName val="Graf 9-1"/>
      <sheetName val="Graf 9-2"/>
      <sheetName val="Graf 9-3"/>
      <sheetName val="HMÚ říjen"/>
      <sheetName val="říjen ručně  "/>
      <sheetName val="Graf 10-1"/>
      <sheetName val="Graf 10-2"/>
      <sheetName val="Graf 10-3"/>
      <sheetName val="HMÚ listopad"/>
      <sheetName val="listopad ručně  "/>
      <sheetName val="Graf 11-1"/>
      <sheetName val="Graf 11-2"/>
      <sheetName val="Graf 11-3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E64" t="str">
            <v>tlak max.</v>
          </cell>
          <cell r="AF64" t="str">
            <v xml:space="preserve">tlak min. </v>
          </cell>
          <cell r="AG64" t="str">
            <v>srážky</v>
          </cell>
          <cell r="AJ64" t="str">
            <v>vlhk.max</v>
          </cell>
          <cell r="AK64" t="str">
            <v>vlhk.min.</v>
          </cell>
        </row>
        <row r="65">
          <cell r="T65">
            <v>1</v>
          </cell>
          <cell r="U65">
            <v>8.6</v>
          </cell>
          <cell r="V65">
            <v>4.6749999999999998</v>
          </cell>
          <cell r="W65">
            <v>-0.91300000000000014</v>
          </cell>
          <cell r="X65">
            <v>1.9</v>
          </cell>
          <cell r="AD65">
            <v>1</v>
          </cell>
          <cell r="AE65">
            <v>966.2</v>
          </cell>
          <cell r="AF65">
            <v>965.2</v>
          </cell>
          <cell r="AG65">
            <v>0</v>
          </cell>
          <cell r="AI65">
            <v>1</v>
          </cell>
          <cell r="AJ65">
            <v>89</v>
          </cell>
          <cell r="AK65">
            <v>72</v>
          </cell>
        </row>
        <row r="66">
          <cell r="T66">
            <v>2</v>
          </cell>
          <cell r="U66">
            <v>6.7</v>
          </cell>
          <cell r="V66">
            <v>2.9249999999999998</v>
          </cell>
          <cell r="W66">
            <v>-0.95827083333333352</v>
          </cell>
          <cell r="X66">
            <v>-5</v>
          </cell>
          <cell r="AD66">
            <v>2</v>
          </cell>
          <cell r="AE66">
            <v>970.6</v>
          </cell>
          <cell r="AF66">
            <v>964.6</v>
          </cell>
          <cell r="AG66">
            <v>0</v>
          </cell>
          <cell r="AI66">
            <v>2</v>
          </cell>
          <cell r="AJ66">
            <v>98</v>
          </cell>
          <cell r="AK66">
            <v>73</v>
          </cell>
        </row>
        <row r="67">
          <cell r="T67">
            <v>3</v>
          </cell>
          <cell r="U67">
            <v>5.0999999999999996</v>
          </cell>
          <cell r="V67">
            <v>3.35</v>
          </cell>
          <cell r="W67">
            <v>-0.98850000000000005</v>
          </cell>
          <cell r="X67">
            <v>-3.5</v>
          </cell>
          <cell r="AD67">
            <v>3</v>
          </cell>
          <cell r="AE67">
            <v>957.2</v>
          </cell>
          <cell r="AF67">
            <v>954.3</v>
          </cell>
          <cell r="AG67">
            <v>0.5</v>
          </cell>
          <cell r="AI67">
            <v>3</v>
          </cell>
          <cell r="AJ67">
            <v>97</v>
          </cell>
          <cell r="AK67">
            <v>61</v>
          </cell>
        </row>
        <row r="68">
          <cell r="T68">
            <v>4</v>
          </cell>
          <cell r="U68">
            <v>7.9</v>
          </cell>
          <cell r="V68">
            <v>5.5749999999999993</v>
          </cell>
          <cell r="W68">
            <v>-1.0358958333333335</v>
          </cell>
          <cell r="X68">
            <v>1.3</v>
          </cell>
          <cell r="AD68">
            <v>4</v>
          </cell>
          <cell r="AE68">
            <v>960.7</v>
          </cell>
          <cell r="AF68">
            <v>958.7</v>
          </cell>
          <cell r="AG68">
            <v>1</v>
          </cell>
          <cell r="AI68">
            <v>4</v>
          </cell>
          <cell r="AJ68">
            <v>86</v>
          </cell>
          <cell r="AK68">
            <v>66</v>
          </cell>
        </row>
        <row r="69">
          <cell r="T69">
            <v>5</v>
          </cell>
          <cell r="U69">
            <v>8.6</v>
          </cell>
          <cell r="V69">
            <v>7.375</v>
          </cell>
          <cell r="W69">
            <v>-1.1086458333333333</v>
          </cell>
          <cell r="X69">
            <v>3.4</v>
          </cell>
          <cell r="AD69">
            <v>5</v>
          </cell>
          <cell r="AE69">
            <v>963.9</v>
          </cell>
          <cell r="AF69">
            <v>960.8</v>
          </cell>
          <cell r="AG69">
            <v>0.5</v>
          </cell>
          <cell r="AI69">
            <v>5</v>
          </cell>
          <cell r="AJ69">
            <v>94</v>
          </cell>
          <cell r="AK69">
            <v>61</v>
          </cell>
        </row>
        <row r="70">
          <cell r="T70">
            <v>6</v>
          </cell>
          <cell r="U70">
            <v>11.3</v>
          </cell>
          <cell r="V70">
            <v>7.875</v>
          </cell>
          <cell r="W70">
            <v>-1.1345416666666668</v>
          </cell>
          <cell r="X70">
            <v>4.4000000000000004</v>
          </cell>
          <cell r="AD70">
            <v>6</v>
          </cell>
          <cell r="AE70">
            <v>970.9</v>
          </cell>
          <cell r="AF70">
            <v>967.3</v>
          </cell>
          <cell r="AG70">
            <v>0</v>
          </cell>
          <cell r="AI70">
            <v>6</v>
          </cell>
          <cell r="AJ70">
            <v>95</v>
          </cell>
          <cell r="AK70">
            <v>71</v>
          </cell>
        </row>
        <row r="71">
          <cell r="T71">
            <v>7</v>
          </cell>
          <cell r="U71">
            <v>7.8</v>
          </cell>
          <cell r="V71">
            <v>5.2249999999999996</v>
          </cell>
          <cell r="W71">
            <v>-1.1588749999999999</v>
          </cell>
          <cell r="X71">
            <v>1.9</v>
          </cell>
          <cell r="AD71">
            <v>7</v>
          </cell>
          <cell r="AE71">
            <v>985.2</v>
          </cell>
          <cell r="AF71">
            <v>976</v>
          </cell>
          <cell r="AG71">
            <v>1.9</v>
          </cell>
          <cell r="AI71">
            <v>7</v>
          </cell>
          <cell r="AJ71">
            <v>98</v>
          </cell>
          <cell r="AK71">
            <v>87</v>
          </cell>
        </row>
        <row r="72">
          <cell r="T72">
            <v>8</v>
          </cell>
          <cell r="U72">
            <v>4.2</v>
          </cell>
          <cell r="V72">
            <v>0.95</v>
          </cell>
          <cell r="W72">
            <v>-1.193875</v>
          </cell>
          <cell r="X72">
            <v>0.6</v>
          </cell>
          <cell r="AD72">
            <v>8</v>
          </cell>
          <cell r="AE72">
            <v>986.8</v>
          </cell>
          <cell r="AF72">
            <v>988.2</v>
          </cell>
          <cell r="AG72">
            <v>0.9</v>
          </cell>
          <cell r="AI72">
            <v>8</v>
          </cell>
          <cell r="AJ72">
            <v>100</v>
          </cell>
          <cell r="AK72">
            <v>95</v>
          </cell>
        </row>
        <row r="73">
          <cell r="T73">
            <v>9</v>
          </cell>
          <cell r="U73">
            <v>11.4</v>
          </cell>
          <cell r="V73">
            <v>5.65</v>
          </cell>
          <cell r="W73">
            <v>-1.2480208333333336</v>
          </cell>
          <cell r="X73">
            <v>-1.1000000000000001</v>
          </cell>
          <cell r="AD73">
            <v>9</v>
          </cell>
          <cell r="AE73">
            <v>986</v>
          </cell>
          <cell r="AF73">
            <v>978</v>
          </cell>
          <cell r="AG73">
            <v>0</v>
          </cell>
          <cell r="AI73">
            <v>9</v>
          </cell>
          <cell r="AJ73">
            <v>100</v>
          </cell>
          <cell r="AK73">
            <v>59</v>
          </cell>
        </row>
        <row r="74">
          <cell r="T74">
            <v>10</v>
          </cell>
          <cell r="U74">
            <v>10.8</v>
          </cell>
          <cell r="V74">
            <v>5.05</v>
          </cell>
          <cell r="W74">
            <v>-1.2990000000000002</v>
          </cell>
          <cell r="X74">
            <v>4.3</v>
          </cell>
          <cell r="AD74">
            <v>10</v>
          </cell>
          <cell r="AE74">
            <v>974</v>
          </cell>
          <cell r="AF74">
            <v>971.6</v>
          </cell>
          <cell r="AG74">
            <v>15.2</v>
          </cell>
          <cell r="AI74">
            <v>10</v>
          </cell>
          <cell r="AJ74">
            <v>100</v>
          </cell>
          <cell r="AK74">
            <v>60</v>
          </cell>
        </row>
        <row r="75">
          <cell r="T75">
            <v>11</v>
          </cell>
          <cell r="U75">
            <v>4.5</v>
          </cell>
          <cell r="V75">
            <v>3.95</v>
          </cell>
          <cell r="W75">
            <v>-1.3655833333333334</v>
          </cell>
          <cell r="X75">
            <v>2.2999999999999998</v>
          </cell>
          <cell r="AD75">
            <v>11</v>
          </cell>
          <cell r="AE75">
            <v>976.5</v>
          </cell>
          <cell r="AF75">
            <v>972</v>
          </cell>
          <cell r="AG75">
            <v>0.9</v>
          </cell>
          <cell r="AI75">
            <v>11</v>
          </cell>
          <cell r="AJ75">
            <v>100</v>
          </cell>
          <cell r="AK75">
            <v>92</v>
          </cell>
        </row>
        <row r="76">
          <cell r="T76">
            <v>12</v>
          </cell>
          <cell r="U76">
            <v>4.2</v>
          </cell>
          <cell r="V76">
            <v>0.6</v>
          </cell>
          <cell r="W76">
            <v>-1.4340000000000002</v>
          </cell>
          <cell r="X76">
            <v>-0.3</v>
          </cell>
          <cell r="AD76">
            <v>12</v>
          </cell>
          <cell r="AE76">
            <v>985.7</v>
          </cell>
          <cell r="AF76">
            <v>981.2</v>
          </cell>
          <cell r="AG76">
            <v>0</v>
          </cell>
          <cell r="AI76">
            <v>12</v>
          </cell>
          <cell r="AJ76">
            <v>100</v>
          </cell>
          <cell r="AK76">
            <v>97</v>
          </cell>
        </row>
        <row r="77">
          <cell r="T77">
            <v>13</v>
          </cell>
          <cell r="U77">
            <v>0.3</v>
          </cell>
          <cell r="V77">
            <v>-1.2749999999999999</v>
          </cell>
          <cell r="W77">
            <v>-1.4902916666666668</v>
          </cell>
          <cell r="X77">
            <v>-2.1</v>
          </cell>
          <cell r="AD77">
            <v>13</v>
          </cell>
          <cell r="AE77">
            <v>986.2</v>
          </cell>
          <cell r="AF77">
            <v>985.9</v>
          </cell>
          <cell r="AG77">
            <v>0</v>
          </cell>
          <cell r="AI77">
            <v>13</v>
          </cell>
          <cell r="AJ77">
            <v>98</v>
          </cell>
          <cell r="AK77">
            <v>83</v>
          </cell>
        </row>
        <row r="78">
          <cell r="T78">
            <v>14</v>
          </cell>
          <cell r="U78">
            <v>-1.6</v>
          </cell>
          <cell r="V78">
            <v>-4.2750000000000004</v>
          </cell>
          <cell r="W78">
            <v>-1.5277708333333335</v>
          </cell>
          <cell r="X78">
            <v>-8.6999999999999993</v>
          </cell>
          <cell r="AD78">
            <v>14</v>
          </cell>
          <cell r="AE78">
            <v>986.2</v>
          </cell>
          <cell r="AF78">
            <v>985.3</v>
          </cell>
          <cell r="AG78">
            <v>0</v>
          </cell>
          <cell r="AI78">
            <v>14</v>
          </cell>
          <cell r="AJ78">
            <v>97</v>
          </cell>
          <cell r="AK78">
            <v>86</v>
          </cell>
        </row>
        <row r="79">
          <cell r="T79">
            <v>15</v>
          </cell>
          <cell r="U79">
            <v>-0.6</v>
          </cell>
          <cell r="V79">
            <v>-3.25</v>
          </cell>
          <cell r="W79">
            <v>-1.5496041666666669</v>
          </cell>
          <cell r="X79">
            <v>-10.4</v>
          </cell>
          <cell r="AD79">
            <v>15</v>
          </cell>
          <cell r="AE79">
            <v>983.9</v>
          </cell>
          <cell r="AF79">
            <v>975.3</v>
          </cell>
          <cell r="AG79">
            <v>0</v>
          </cell>
          <cell r="AI79">
            <v>15</v>
          </cell>
          <cell r="AJ79">
            <v>96</v>
          </cell>
          <cell r="AK79">
            <v>66</v>
          </cell>
        </row>
        <row r="80">
          <cell r="T80">
            <v>16</v>
          </cell>
          <cell r="U80">
            <v>1.4</v>
          </cell>
          <cell r="V80">
            <v>-0.5</v>
          </cell>
          <cell r="W80">
            <v>-1.5561875000000001</v>
          </cell>
          <cell r="X80">
            <v>-4.7</v>
          </cell>
          <cell r="AD80">
            <v>16</v>
          </cell>
          <cell r="AE80">
            <v>962.3</v>
          </cell>
          <cell r="AF80">
            <v>951.8</v>
          </cell>
          <cell r="AG80">
            <v>2.2000000000000002</v>
          </cell>
          <cell r="AI80">
            <v>16</v>
          </cell>
          <cell r="AJ80">
            <v>95</v>
          </cell>
          <cell r="AK80">
            <v>68</v>
          </cell>
        </row>
        <row r="81">
          <cell r="T81">
            <v>17</v>
          </cell>
          <cell r="U81">
            <v>3.1</v>
          </cell>
          <cell r="V81">
            <v>0.42500000000000004</v>
          </cell>
          <cell r="W81">
            <v>-1.5835000000000004</v>
          </cell>
          <cell r="X81">
            <v>-6.2</v>
          </cell>
          <cell r="AD81">
            <v>17</v>
          </cell>
          <cell r="AE81">
            <v>960.9</v>
          </cell>
          <cell r="AF81">
            <v>953.7</v>
          </cell>
          <cell r="AG81">
            <v>0.7</v>
          </cell>
          <cell r="AI81">
            <v>17</v>
          </cell>
          <cell r="AJ81">
            <v>90</v>
          </cell>
          <cell r="AK81">
            <v>74</v>
          </cell>
        </row>
        <row r="82">
          <cell r="T82">
            <v>18</v>
          </cell>
          <cell r="U82">
            <v>4.8</v>
          </cell>
          <cell r="V82">
            <v>2.4749999999999996</v>
          </cell>
          <cell r="W82">
            <v>-1.592125</v>
          </cell>
          <cell r="X82">
            <v>-6.2</v>
          </cell>
          <cell r="AD82">
            <v>18</v>
          </cell>
          <cell r="AE82">
            <v>965.7</v>
          </cell>
          <cell r="AF82">
            <v>956</v>
          </cell>
          <cell r="AG82">
            <v>0.2</v>
          </cell>
          <cell r="AI82">
            <v>18</v>
          </cell>
          <cell r="AJ82">
            <v>96</v>
          </cell>
          <cell r="AK82">
            <v>69</v>
          </cell>
        </row>
        <row r="83">
          <cell r="T83">
            <v>19</v>
          </cell>
          <cell r="U83">
            <v>5.0999999999999996</v>
          </cell>
          <cell r="V83">
            <v>1.65</v>
          </cell>
          <cell r="W83">
            <v>-1.6163434139784949</v>
          </cell>
          <cell r="X83">
            <v>-2.5</v>
          </cell>
          <cell r="AD83">
            <v>19</v>
          </cell>
          <cell r="AE83">
            <v>968.2</v>
          </cell>
          <cell r="AF83">
            <v>962.5</v>
          </cell>
          <cell r="AG83">
            <v>0.8</v>
          </cell>
          <cell r="AI83">
            <v>19</v>
          </cell>
          <cell r="AJ83">
            <v>95</v>
          </cell>
          <cell r="AK83">
            <v>63</v>
          </cell>
        </row>
        <row r="84">
          <cell r="T84">
            <v>20</v>
          </cell>
          <cell r="U84">
            <v>2</v>
          </cell>
          <cell r="V84">
            <v>-2.4999999999999981E-2</v>
          </cell>
          <cell r="W84">
            <v>-1.6145201612903231</v>
          </cell>
          <cell r="X84">
            <v>-6.1</v>
          </cell>
          <cell r="AD84">
            <v>20</v>
          </cell>
          <cell r="AE84">
            <v>968.8</v>
          </cell>
          <cell r="AF84">
            <v>963.8</v>
          </cell>
          <cell r="AG84">
            <v>0.4</v>
          </cell>
          <cell r="AI84">
            <v>20</v>
          </cell>
          <cell r="AJ84">
            <v>98</v>
          </cell>
          <cell r="AK84">
            <v>80</v>
          </cell>
        </row>
        <row r="85">
          <cell r="T85">
            <v>21</v>
          </cell>
          <cell r="U85">
            <v>1.5</v>
          </cell>
          <cell r="V85">
            <v>-1.625</v>
          </cell>
          <cell r="W85">
            <v>-1.6082177419354842</v>
          </cell>
          <cell r="X85">
            <v>-2.9</v>
          </cell>
          <cell r="AD85">
            <v>21</v>
          </cell>
          <cell r="AE85">
            <v>974.9</v>
          </cell>
          <cell r="AF85">
            <v>962.3</v>
          </cell>
          <cell r="AG85">
            <v>3.8</v>
          </cell>
          <cell r="AI85">
            <v>21</v>
          </cell>
          <cell r="AJ85">
            <v>99</v>
          </cell>
          <cell r="AK85">
            <v>76</v>
          </cell>
        </row>
        <row r="86">
          <cell r="T86">
            <v>22</v>
          </cell>
          <cell r="U86">
            <v>-0.2</v>
          </cell>
          <cell r="V86">
            <v>-1.9249999999999998</v>
          </cell>
          <cell r="W86">
            <v>-1.6077278225806457</v>
          </cell>
          <cell r="X86">
            <v>-6.9</v>
          </cell>
          <cell r="AD86">
            <v>22</v>
          </cell>
          <cell r="AE86">
            <v>974</v>
          </cell>
          <cell r="AF86">
            <v>971.1</v>
          </cell>
          <cell r="AG86">
            <v>0.1</v>
          </cell>
          <cell r="AI86">
            <v>22</v>
          </cell>
          <cell r="AJ86">
            <v>98</v>
          </cell>
          <cell r="AK86">
            <v>71</v>
          </cell>
        </row>
        <row r="87">
          <cell r="T87">
            <v>23</v>
          </cell>
          <cell r="U87">
            <v>1.4</v>
          </cell>
          <cell r="V87">
            <v>0.6</v>
          </cell>
          <cell r="W87">
            <v>-1.5634045698924735</v>
          </cell>
          <cell r="X87">
            <v>-2.6</v>
          </cell>
          <cell r="AD87">
            <v>23</v>
          </cell>
          <cell r="AE87">
            <v>985</v>
          </cell>
          <cell r="AF87">
            <v>977.3</v>
          </cell>
          <cell r="AG87">
            <v>0</v>
          </cell>
          <cell r="AI87">
            <v>23</v>
          </cell>
          <cell r="AJ87">
            <v>94</v>
          </cell>
          <cell r="AK87">
            <v>66</v>
          </cell>
        </row>
        <row r="88">
          <cell r="T88">
            <v>24</v>
          </cell>
          <cell r="U88">
            <v>4.8</v>
          </cell>
          <cell r="V88">
            <v>4.1749999999999998</v>
          </cell>
          <cell r="W88">
            <v>-1.5226021505376353</v>
          </cell>
          <cell r="X88">
            <v>-2</v>
          </cell>
          <cell r="AD88">
            <v>24</v>
          </cell>
          <cell r="AE88">
            <v>983.7</v>
          </cell>
          <cell r="AF88">
            <v>981.3</v>
          </cell>
          <cell r="AG88">
            <v>0</v>
          </cell>
          <cell r="AI88">
            <v>24</v>
          </cell>
          <cell r="AJ88">
            <v>94</v>
          </cell>
          <cell r="AK88">
            <v>78</v>
          </cell>
        </row>
        <row r="89">
          <cell r="T89">
            <v>25</v>
          </cell>
          <cell r="U89">
            <v>7.4</v>
          </cell>
          <cell r="V89">
            <v>4.95</v>
          </cell>
          <cell r="W89">
            <v>-1.4606747311827961</v>
          </cell>
          <cell r="X89">
            <v>2.1</v>
          </cell>
          <cell r="AD89">
            <v>25</v>
          </cell>
          <cell r="AE89">
            <v>979.7</v>
          </cell>
          <cell r="AF89">
            <v>977.1</v>
          </cell>
          <cell r="AG89">
            <v>0</v>
          </cell>
          <cell r="AI89">
            <v>25</v>
          </cell>
          <cell r="AJ89">
            <v>81</v>
          </cell>
          <cell r="AK89">
            <v>54</v>
          </cell>
        </row>
        <row r="90">
          <cell r="T90">
            <v>26</v>
          </cell>
          <cell r="U90">
            <v>5.2</v>
          </cell>
          <cell r="V90">
            <v>2.5999999999999996</v>
          </cell>
          <cell r="W90">
            <v>-1.4171848118279575</v>
          </cell>
          <cell r="X90">
            <v>-1.4</v>
          </cell>
          <cell r="AD90">
            <v>26</v>
          </cell>
          <cell r="AE90">
            <v>980.7</v>
          </cell>
          <cell r="AF90">
            <v>976.3</v>
          </cell>
          <cell r="AG90">
            <v>0</v>
          </cell>
          <cell r="AI90">
            <v>26</v>
          </cell>
          <cell r="AJ90">
            <v>87</v>
          </cell>
          <cell r="AK90">
            <v>57</v>
          </cell>
        </row>
        <row r="91">
          <cell r="T91">
            <v>27</v>
          </cell>
          <cell r="U91">
            <v>5</v>
          </cell>
          <cell r="V91">
            <v>2.4250000000000003</v>
          </cell>
          <cell r="W91">
            <v>-1.4225490591397851</v>
          </cell>
          <cell r="X91">
            <v>-3.3</v>
          </cell>
          <cell r="AD91">
            <v>27</v>
          </cell>
          <cell r="AE91">
            <v>990.5</v>
          </cell>
          <cell r="AF91">
            <v>986.2</v>
          </cell>
          <cell r="AG91">
            <v>0</v>
          </cell>
          <cell r="AI91">
            <v>27</v>
          </cell>
          <cell r="AJ91">
            <v>97</v>
          </cell>
          <cell r="AK91">
            <v>83</v>
          </cell>
        </row>
        <row r="92">
          <cell r="T92">
            <v>28</v>
          </cell>
          <cell r="U92">
            <v>7.1</v>
          </cell>
          <cell r="V92">
            <v>5.0749999999999993</v>
          </cell>
          <cell r="W92">
            <v>-1.4225174731182797</v>
          </cell>
          <cell r="X92">
            <v>-0.5</v>
          </cell>
          <cell r="AD92">
            <v>28</v>
          </cell>
          <cell r="AE92">
            <v>986.8</v>
          </cell>
          <cell r="AF92">
            <v>986.3</v>
          </cell>
          <cell r="AG92">
            <v>1.2</v>
          </cell>
          <cell r="AI92">
            <v>28</v>
          </cell>
          <cell r="AJ92">
            <v>100</v>
          </cell>
          <cell r="AK92">
            <v>72</v>
          </cell>
        </row>
        <row r="93">
          <cell r="T93">
            <v>29</v>
          </cell>
          <cell r="U93">
            <v>9.5</v>
          </cell>
          <cell r="V93">
            <v>7.9999999999999991</v>
          </cell>
          <cell r="W93">
            <v>-1.4112358870967747</v>
          </cell>
          <cell r="X93">
            <v>4.7</v>
          </cell>
          <cell r="AD93">
            <v>29</v>
          </cell>
          <cell r="AE93">
            <v>981.4</v>
          </cell>
          <cell r="AF93">
            <v>979.6</v>
          </cell>
          <cell r="AG93">
            <v>0.7</v>
          </cell>
          <cell r="AI93">
            <v>29</v>
          </cell>
          <cell r="AJ93">
            <v>94</v>
          </cell>
          <cell r="AK93">
            <v>75</v>
          </cell>
        </row>
        <row r="94">
          <cell r="T94">
            <v>30</v>
          </cell>
          <cell r="U94">
            <v>8.5</v>
          </cell>
          <cell r="V94">
            <v>2.5</v>
          </cell>
          <cell r="W94">
            <v>-1.4082043010752692</v>
          </cell>
          <cell r="X94">
            <v>-2</v>
          </cell>
          <cell r="AD94">
            <v>30</v>
          </cell>
          <cell r="AE94">
            <v>984.3</v>
          </cell>
          <cell r="AF94">
            <v>980.5</v>
          </cell>
          <cell r="AG94">
            <v>0</v>
          </cell>
          <cell r="AI94">
            <v>30</v>
          </cell>
          <cell r="AJ94">
            <v>88</v>
          </cell>
          <cell r="AK94">
            <v>55</v>
          </cell>
        </row>
        <row r="95">
          <cell r="T95">
            <v>31</v>
          </cell>
          <cell r="U95">
            <v>-0.4</v>
          </cell>
          <cell r="V95">
            <v>0</v>
          </cell>
          <cell r="W95">
            <v>-1.3940477150537633</v>
          </cell>
          <cell r="X95">
            <v>-6.5</v>
          </cell>
          <cell r="AD95">
            <v>31</v>
          </cell>
          <cell r="AE95">
            <v>979.2</v>
          </cell>
          <cell r="AF95">
            <v>970.2</v>
          </cell>
          <cell r="AG95">
            <v>0</v>
          </cell>
          <cell r="AI95">
            <v>31</v>
          </cell>
          <cell r="AJ95">
            <v>93</v>
          </cell>
          <cell r="AK95">
            <v>81</v>
          </cell>
        </row>
      </sheetData>
      <sheetData sheetId="12"/>
      <sheetData sheetId="13"/>
      <sheetData sheetId="17"/>
      <sheetData sheetId="18"/>
      <sheetData sheetId="22"/>
      <sheetData sheetId="23"/>
      <sheetData sheetId="27"/>
      <sheetData sheetId="28"/>
      <sheetData sheetId="32"/>
      <sheetData sheetId="33"/>
      <sheetData sheetId="37"/>
      <sheetData sheetId="38"/>
      <sheetData sheetId="42"/>
      <sheetData sheetId="43"/>
      <sheetData sheetId="47"/>
      <sheetData sheetId="48"/>
      <sheetData sheetId="52"/>
      <sheetData sheetId="53"/>
      <sheetData sheetId="57"/>
      <sheetData sheetId="58"/>
      <sheetData sheetId="62"/>
      <sheetData sheetId="63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4DE7C-3E79-4190-AC1D-C037E769FBFD}">
  <dimension ref="A1:CY86"/>
  <sheetViews>
    <sheetView showGridLines="0" zoomScaleNormal="100" workbookViewId="0">
      <pane xSplit="1" ySplit="5" topLeftCell="B7" activePane="bottomRight" state="frozen"/>
      <selection activeCell="BV9" sqref="BV9"/>
      <selection pane="topRight" activeCell="BV9" sqref="BV9"/>
      <selection pane="bottomLeft" activeCell="BV9" sqref="BV9"/>
      <selection pane="bottomRight" activeCell="K30" sqref="K30"/>
    </sheetView>
  </sheetViews>
  <sheetFormatPr defaultColWidth="9.140625" defaultRowHeight="12.75" x14ac:dyDescent="0.2"/>
  <cols>
    <col min="1" max="1" width="4.7109375" style="1" customWidth="1"/>
    <col min="2" max="9" width="6.28515625" style="1" customWidth="1"/>
    <col min="10" max="14" width="4.7109375" style="1" customWidth="1"/>
    <col min="15" max="15" width="5.7109375" style="1" customWidth="1"/>
    <col min="16" max="17" width="7.28515625" style="1" customWidth="1"/>
    <col min="18" max="18" width="4.7109375" style="1" customWidth="1"/>
    <col min="19" max="19" width="7.28515625" style="1" customWidth="1"/>
    <col min="20" max="20" width="4.7109375" style="1" customWidth="1"/>
    <col min="21" max="23" width="7.28515625" style="1" customWidth="1"/>
    <col min="24" max="24" width="5.28515625" style="1" customWidth="1"/>
    <col min="25" max="25" width="7.28515625" style="1" customWidth="1"/>
    <col min="26" max="26" width="5.28515625" style="1" customWidth="1"/>
    <col min="27" max="27" width="7.28515625" style="1" customWidth="1"/>
    <col min="28" max="28" width="4.28515625" style="1" customWidth="1"/>
    <col min="29" max="34" width="6.7109375" style="1" customWidth="1"/>
    <col min="35" max="35" width="4.85546875" style="1" customWidth="1"/>
    <col min="36" max="38" width="6.7109375" style="1" customWidth="1"/>
    <col min="39" max="39" width="8.28515625" style="1" customWidth="1"/>
    <col min="40" max="40" width="4.7109375" style="1" customWidth="1"/>
    <col min="41" max="42" width="6.7109375" style="1" customWidth="1"/>
    <col min="43" max="43" width="6.85546875" style="1" customWidth="1"/>
    <col min="44" max="44" width="4.7109375" style="1" customWidth="1"/>
    <col min="45" max="45" width="6.7109375" style="1" customWidth="1"/>
    <col min="46" max="47" width="4.7109375" style="1" customWidth="1"/>
    <col min="48" max="48" width="3" style="1" customWidth="1"/>
    <col min="49" max="49" width="3.7109375" style="1" customWidth="1"/>
    <col min="50" max="64" width="5.7109375" style="1" customWidth="1"/>
    <col min="65" max="65" width="13.42578125" style="1" customWidth="1"/>
    <col min="66" max="66" width="22.28515625" style="1" customWidth="1"/>
    <col min="67" max="67" width="9.140625" style="1" customWidth="1"/>
    <col min="68" max="16384" width="9.140625" style="1"/>
  </cols>
  <sheetData>
    <row r="1" spans="1:103" ht="18" x14ac:dyDescent="0.25">
      <c r="A1" s="352" t="s">
        <v>191</v>
      </c>
      <c r="B1" s="352"/>
      <c r="C1" s="352"/>
      <c r="D1" s="354">
        <v>2018</v>
      </c>
      <c r="O1" s="352"/>
      <c r="S1" s="352"/>
      <c r="T1" s="352" t="s">
        <v>190</v>
      </c>
      <c r="V1" s="353">
        <f>VALUE(D1)</f>
        <v>2018</v>
      </c>
      <c r="AE1" s="352" t="s">
        <v>190</v>
      </c>
      <c r="AG1" s="1">
        <f>VALUE(D1)</f>
        <v>2018</v>
      </c>
      <c r="AJ1" s="352"/>
      <c r="AK1" s="352"/>
      <c r="AL1" s="352"/>
      <c r="AQ1" s="1">
        <f>VALUE(D1)</f>
        <v>2018</v>
      </c>
      <c r="BM1" t="s">
        <v>189</v>
      </c>
      <c r="BN1"/>
      <c r="BO1"/>
      <c r="BP1"/>
      <c r="BQ1"/>
      <c r="BR1">
        <f>VALUE(D1)</f>
        <v>2018</v>
      </c>
      <c r="BS1"/>
    </row>
    <row r="2" spans="1:103" ht="18.75" thickBot="1" x14ac:dyDescent="0.3">
      <c r="A2" s="352" t="s">
        <v>188</v>
      </c>
      <c r="B2" s="352"/>
      <c r="C2" s="352"/>
      <c r="D2" s="352"/>
      <c r="O2" s="352" t="s">
        <v>188</v>
      </c>
      <c r="R2" s="352"/>
      <c r="S2" s="352"/>
      <c r="AW2" s="352"/>
      <c r="BM2"/>
      <c r="BN2"/>
      <c r="BO2"/>
      <c r="BP2"/>
      <c r="BQ2"/>
      <c r="BR2"/>
      <c r="BS2"/>
      <c r="BT2" t="s">
        <v>187</v>
      </c>
      <c r="BU2"/>
      <c r="BW2" s="1" t="s">
        <v>186</v>
      </c>
      <c r="CC2" s="1" t="s">
        <v>185</v>
      </c>
      <c r="CI2" s="1" t="s">
        <v>184</v>
      </c>
      <c r="CO2" s="1" t="s">
        <v>183</v>
      </c>
      <c r="CU2" s="1" t="s">
        <v>182</v>
      </c>
    </row>
    <row r="3" spans="1:103" ht="13.5" thickBot="1" x14ac:dyDescent="0.25">
      <c r="A3" s="328"/>
      <c r="B3" s="328"/>
      <c r="C3" s="328"/>
      <c r="D3" s="328"/>
      <c r="E3" s="328"/>
      <c r="F3" s="328"/>
      <c r="G3" s="328"/>
      <c r="H3" s="328"/>
      <c r="I3" s="328"/>
      <c r="J3" s="63"/>
      <c r="K3" s="63"/>
      <c r="L3" s="63"/>
      <c r="M3" s="63"/>
      <c r="N3" s="63"/>
      <c r="O3" s="1" t="s">
        <v>181</v>
      </c>
      <c r="AB3" s="1" t="s">
        <v>181</v>
      </c>
      <c r="AW3" s="84"/>
      <c r="AX3" s="217"/>
      <c r="AY3" s="351"/>
      <c r="AZ3" s="351" t="s">
        <v>86</v>
      </c>
      <c r="BA3" s="351"/>
      <c r="BB3" s="351"/>
      <c r="BC3" s="350"/>
      <c r="BD3" s="84"/>
      <c r="BE3" s="84"/>
      <c r="BF3" s="84"/>
      <c r="BG3" s="84"/>
      <c r="BH3" s="84"/>
      <c r="BI3" s="84"/>
      <c r="BJ3" s="84"/>
      <c r="BK3" s="84"/>
      <c r="BL3" s="84"/>
      <c r="BM3" s="256"/>
      <c r="BN3" s="209"/>
      <c r="BO3" s="209" t="s">
        <v>138</v>
      </c>
      <c r="BP3" s="209">
        <f>VALUE(D1)</f>
        <v>2018</v>
      </c>
      <c r="BQ3" s="209" t="s">
        <v>137</v>
      </c>
      <c r="BR3" s="209" t="s">
        <v>92</v>
      </c>
      <c r="BS3" s="349" t="s">
        <v>87</v>
      </c>
      <c r="BT3" s="348" t="s">
        <v>180</v>
      </c>
      <c r="BU3" s="347" t="s">
        <v>179</v>
      </c>
      <c r="BW3" s="342" t="s">
        <v>157</v>
      </c>
      <c r="BX3" s="341" t="s">
        <v>178</v>
      </c>
      <c r="BY3" s="346" t="s">
        <v>177</v>
      </c>
      <c r="BZ3" s="345" t="s">
        <v>157</v>
      </c>
      <c r="CA3" s="344" t="s">
        <v>178</v>
      </c>
      <c r="CC3" s="342" t="s">
        <v>157</v>
      </c>
      <c r="CD3" s="341" t="s">
        <v>178</v>
      </c>
      <c r="CE3" s="346" t="s">
        <v>177</v>
      </c>
      <c r="CF3" s="345" t="s">
        <v>157</v>
      </c>
      <c r="CG3" s="344" t="s">
        <v>178</v>
      </c>
      <c r="CI3" s="342" t="s">
        <v>157</v>
      </c>
      <c r="CJ3" s="341" t="s">
        <v>178</v>
      </c>
      <c r="CK3" s="346" t="s">
        <v>177</v>
      </c>
      <c r="CL3" s="345" t="s">
        <v>157</v>
      </c>
      <c r="CM3" s="344" t="s">
        <v>178</v>
      </c>
      <c r="CO3" s="342" t="s">
        <v>157</v>
      </c>
      <c r="CP3" s="341" t="s">
        <v>178</v>
      </c>
      <c r="CQ3" s="346" t="s">
        <v>177</v>
      </c>
      <c r="CR3" s="345" t="s">
        <v>157</v>
      </c>
      <c r="CS3" s="344" t="s">
        <v>178</v>
      </c>
      <c r="CU3" s="342" t="s">
        <v>157</v>
      </c>
      <c r="CV3" s="341" t="s">
        <v>164</v>
      </c>
      <c r="CW3" s="346" t="s">
        <v>177</v>
      </c>
      <c r="CX3" s="345" t="s">
        <v>157</v>
      </c>
      <c r="CY3" s="344" t="s">
        <v>164</v>
      </c>
    </row>
    <row r="4" spans="1:103" ht="13.5" thickBot="1" x14ac:dyDescent="0.25">
      <c r="A4" s="91" t="s">
        <v>78</v>
      </c>
      <c r="B4" s="335"/>
      <c r="C4" s="335" t="s">
        <v>176</v>
      </c>
      <c r="D4" s="335"/>
      <c r="E4" s="335"/>
      <c r="F4" s="335"/>
      <c r="G4" s="335"/>
      <c r="H4" s="335"/>
      <c r="I4" s="343" t="s">
        <v>66</v>
      </c>
      <c r="J4" s="337" t="s">
        <v>175</v>
      </c>
      <c r="K4" s="332"/>
      <c r="L4" s="331"/>
      <c r="M4" s="337" t="s">
        <v>174</v>
      </c>
      <c r="N4" s="331"/>
      <c r="O4" s="342" t="s">
        <v>168</v>
      </c>
      <c r="P4" s="341" t="s">
        <v>173</v>
      </c>
      <c r="Q4" s="335"/>
      <c r="R4" s="335"/>
      <c r="S4" s="335"/>
      <c r="T4" s="335"/>
      <c r="U4" s="334"/>
      <c r="V4" s="340" t="s">
        <v>172</v>
      </c>
      <c r="W4" s="339"/>
      <c r="X4" s="338"/>
      <c r="Y4" s="339"/>
      <c r="Z4" s="338"/>
      <c r="AA4" s="335"/>
      <c r="AB4" s="337" t="s">
        <v>168</v>
      </c>
      <c r="AC4" s="336" t="s">
        <v>171</v>
      </c>
      <c r="AD4" s="335"/>
      <c r="AE4" s="335"/>
      <c r="AF4" s="335"/>
      <c r="AG4" s="335"/>
      <c r="AH4" s="334"/>
      <c r="AI4" s="337" t="s">
        <v>168</v>
      </c>
      <c r="AJ4" s="336" t="s">
        <v>170</v>
      </c>
      <c r="AK4" s="335"/>
      <c r="AL4" s="335"/>
      <c r="AM4" s="335"/>
      <c r="AN4" s="335"/>
      <c r="AO4" s="334"/>
      <c r="AP4" s="335" t="s">
        <v>66</v>
      </c>
      <c r="AQ4" s="335"/>
      <c r="AR4" s="335"/>
      <c r="AS4" s="334"/>
      <c r="AT4" s="1" t="s">
        <v>169</v>
      </c>
      <c r="AW4" s="303" t="s">
        <v>168</v>
      </c>
      <c r="AX4" s="333">
        <v>7</v>
      </c>
      <c r="AY4" s="332"/>
      <c r="AZ4" s="333">
        <v>14</v>
      </c>
      <c r="BA4" s="332"/>
      <c r="BB4" s="333">
        <v>21</v>
      </c>
      <c r="BC4" s="331"/>
      <c r="BD4" s="332" t="s">
        <v>85</v>
      </c>
      <c r="BE4" s="332"/>
      <c r="BF4" s="331"/>
      <c r="BG4" s="333" t="s">
        <v>84</v>
      </c>
      <c r="BH4" s="332"/>
      <c r="BI4" s="331"/>
      <c r="BJ4" s="333" t="s">
        <v>83</v>
      </c>
      <c r="BK4" s="332"/>
      <c r="BL4" s="331"/>
      <c r="BM4" s="256" t="s">
        <v>167</v>
      </c>
      <c r="BN4" s="250" t="s">
        <v>134</v>
      </c>
      <c r="BO4" s="249">
        <v>-1.6</v>
      </c>
      <c r="BP4" s="249">
        <f>VALUE(H46)</f>
        <v>2.536290322580645</v>
      </c>
      <c r="BQ4" s="249">
        <f>+BP4-BO4</f>
        <v>4.1362903225806456</v>
      </c>
      <c r="BR4" s="301">
        <f>MAX(H6:H36)</f>
        <v>7.9999999999999991</v>
      </c>
      <c r="BS4" s="300">
        <f>MIN(H6:H36)</f>
        <v>-4.2750000000000004</v>
      </c>
      <c r="BT4" s="299">
        <f>VALUE(U52)</f>
        <v>23</v>
      </c>
      <c r="BU4" s="298">
        <f>VALUE(U53)</f>
        <v>1</v>
      </c>
      <c r="BW4" s="171">
        <v>1976</v>
      </c>
      <c r="BX4" s="170">
        <v>-1.7225806451612906</v>
      </c>
      <c r="BY4" s="169">
        <v>1</v>
      </c>
      <c r="BZ4" s="20">
        <v>2007</v>
      </c>
      <c r="CA4" s="330">
        <v>3.6403225806451602</v>
      </c>
      <c r="CC4" s="171">
        <v>1976</v>
      </c>
      <c r="CD4" s="170">
        <v>0.87741935483870936</v>
      </c>
      <c r="CE4" s="169">
        <v>1</v>
      </c>
      <c r="CF4" s="20">
        <v>2007</v>
      </c>
      <c r="CG4" s="304">
        <v>6.3129032258064504</v>
      </c>
      <c r="CI4" s="171">
        <v>1976</v>
      </c>
      <c r="CJ4" s="170">
        <v>-5.2322580645161283</v>
      </c>
      <c r="CK4" s="169">
        <v>1</v>
      </c>
      <c r="CL4" s="20">
        <v>2007</v>
      </c>
      <c r="CM4" s="330">
        <v>0.98064516129032198</v>
      </c>
      <c r="CO4" s="171">
        <v>1976</v>
      </c>
      <c r="CP4" s="170">
        <v>-6.387096774193548</v>
      </c>
      <c r="CQ4" s="169">
        <v>1</v>
      </c>
      <c r="CR4" s="20">
        <v>2007</v>
      </c>
      <c r="CS4" s="330">
        <v>-0.20000000000000004</v>
      </c>
      <c r="CU4" s="171">
        <v>1976</v>
      </c>
      <c r="CV4" s="170">
        <v>66</v>
      </c>
      <c r="CW4" s="169">
        <v>1</v>
      </c>
      <c r="CX4" s="20">
        <v>2007</v>
      </c>
      <c r="CY4" s="304">
        <v>68.400000000000006</v>
      </c>
    </row>
    <row r="5" spans="1:103" ht="13.5" thickBot="1" x14ac:dyDescent="0.25">
      <c r="A5" s="86"/>
      <c r="B5" s="328" t="s">
        <v>92</v>
      </c>
      <c r="C5" s="328" t="s">
        <v>166</v>
      </c>
      <c r="D5" s="329" t="s">
        <v>165</v>
      </c>
      <c r="E5" s="328">
        <v>7</v>
      </c>
      <c r="F5" s="329">
        <v>14</v>
      </c>
      <c r="G5" s="328">
        <v>21</v>
      </c>
      <c r="H5" s="327" t="s">
        <v>90</v>
      </c>
      <c r="I5" s="326" t="s">
        <v>164</v>
      </c>
      <c r="J5" s="325">
        <v>7</v>
      </c>
      <c r="K5" s="308">
        <v>14</v>
      </c>
      <c r="L5" s="307">
        <v>21</v>
      </c>
      <c r="M5" s="324" t="s">
        <v>163</v>
      </c>
      <c r="N5" s="307" t="s">
        <v>0</v>
      </c>
      <c r="O5" s="323"/>
      <c r="P5" s="85" t="s">
        <v>161</v>
      </c>
      <c r="Q5" s="310" t="s">
        <v>160</v>
      </c>
      <c r="R5" s="85" t="s">
        <v>157</v>
      </c>
      <c r="S5" s="322" t="s">
        <v>159</v>
      </c>
      <c r="T5" s="85" t="s">
        <v>157</v>
      </c>
      <c r="U5" s="309">
        <f>VALUE(D1)</f>
        <v>2018</v>
      </c>
      <c r="V5" s="312" t="s">
        <v>161</v>
      </c>
      <c r="W5" s="314" t="s">
        <v>162</v>
      </c>
      <c r="X5" s="312" t="s">
        <v>157</v>
      </c>
      <c r="Y5" s="313" t="s">
        <v>159</v>
      </c>
      <c r="Z5" s="312" t="s">
        <v>157</v>
      </c>
      <c r="AA5" s="321">
        <f>VALUE(D1)</f>
        <v>2018</v>
      </c>
      <c r="AB5" s="316"/>
      <c r="AC5" s="320" t="s">
        <v>161</v>
      </c>
      <c r="AD5" s="319" t="s">
        <v>160</v>
      </c>
      <c r="AE5" s="317" t="s">
        <v>157</v>
      </c>
      <c r="AF5" s="318" t="s">
        <v>159</v>
      </c>
      <c r="AG5" s="317" t="s">
        <v>157</v>
      </c>
      <c r="AH5" s="309">
        <f>VALUE(V1)</f>
        <v>2018</v>
      </c>
      <c r="AI5" s="316"/>
      <c r="AJ5" s="315" t="s">
        <v>161</v>
      </c>
      <c r="AK5" s="314" t="s">
        <v>160</v>
      </c>
      <c r="AL5" s="312" t="s">
        <v>157</v>
      </c>
      <c r="AM5" s="313" t="s">
        <v>159</v>
      </c>
      <c r="AN5" s="312" t="s">
        <v>157</v>
      </c>
      <c r="AO5" s="309">
        <f>VALUE(D1)</f>
        <v>2018</v>
      </c>
      <c r="AP5" s="311" t="s">
        <v>90</v>
      </c>
      <c r="AQ5" s="310" t="s">
        <v>158</v>
      </c>
      <c r="AR5" s="85" t="s">
        <v>157</v>
      </c>
      <c r="AS5" s="309">
        <f>VALUE(D1)</f>
        <v>2018</v>
      </c>
      <c r="AW5" s="228"/>
      <c r="AX5" s="308" t="s">
        <v>16</v>
      </c>
      <c r="AY5" s="308" t="s">
        <v>17</v>
      </c>
      <c r="AZ5" s="308" t="s">
        <v>16</v>
      </c>
      <c r="BA5" s="308" t="s">
        <v>17</v>
      </c>
      <c r="BB5" s="308" t="s">
        <v>16</v>
      </c>
      <c r="BC5" s="307" t="s">
        <v>17</v>
      </c>
      <c r="BD5" s="308">
        <v>7</v>
      </c>
      <c r="BE5" s="308">
        <v>14</v>
      </c>
      <c r="BF5" s="307">
        <v>21</v>
      </c>
      <c r="BG5" s="308">
        <v>7</v>
      </c>
      <c r="BH5" s="308">
        <v>14</v>
      </c>
      <c r="BI5" s="307">
        <v>21</v>
      </c>
      <c r="BJ5" s="308">
        <v>7</v>
      </c>
      <c r="BK5" s="308">
        <v>14</v>
      </c>
      <c r="BL5" s="307">
        <v>21</v>
      </c>
      <c r="BM5" s="237"/>
      <c r="BN5" s="236" t="s">
        <v>133</v>
      </c>
      <c r="BO5" s="236">
        <v>-1.6</v>
      </c>
      <c r="BP5" s="68">
        <f>VALUE(H46)</f>
        <v>2.536290322580645</v>
      </c>
      <c r="BQ5" s="296">
        <f>+BP5-BO5</f>
        <v>4.1362903225806456</v>
      </c>
      <c r="BR5" s="55">
        <f>VALUE(BR4)</f>
        <v>7.9999999999999991</v>
      </c>
      <c r="BS5" s="223">
        <f>VALUE(BS4)</f>
        <v>-4.2750000000000004</v>
      </c>
      <c r="BT5"/>
      <c r="BU5"/>
      <c r="BW5" s="171">
        <v>1977</v>
      </c>
      <c r="BX5" s="170">
        <v>-0.31935483870967746</v>
      </c>
      <c r="BY5" s="169">
        <v>2</v>
      </c>
      <c r="BZ5" s="20">
        <v>1988</v>
      </c>
      <c r="CA5" s="304">
        <v>2.7322580645161287</v>
      </c>
      <c r="CC5" s="171">
        <v>1977</v>
      </c>
      <c r="CD5" s="170">
        <v>2.7709677419354835</v>
      </c>
      <c r="CE5" s="169">
        <v>2</v>
      </c>
      <c r="CF5" s="20">
        <v>1988</v>
      </c>
      <c r="CG5" s="304">
        <v>5.5129032258064514</v>
      </c>
      <c r="CI5" s="171">
        <v>1977</v>
      </c>
      <c r="CJ5" s="170">
        <v>-3.6580645161290319</v>
      </c>
      <c r="CK5" s="169">
        <v>2</v>
      </c>
      <c r="CL5" s="20">
        <v>1988</v>
      </c>
      <c r="CM5" s="304">
        <v>-0.16451612903225818</v>
      </c>
      <c r="CO5" s="171">
        <v>1977</v>
      </c>
      <c r="CP5" s="170">
        <v>-3.967741935483871</v>
      </c>
      <c r="CQ5" s="169">
        <v>2</v>
      </c>
      <c r="CR5" s="20">
        <v>2008</v>
      </c>
      <c r="CS5" s="304">
        <v>-1.0225806451612904</v>
      </c>
      <c r="CU5" s="171">
        <v>1977</v>
      </c>
      <c r="CV5" s="170">
        <v>67.900000000000006</v>
      </c>
      <c r="CW5" s="169">
        <v>2</v>
      </c>
      <c r="CX5" s="20">
        <v>1977</v>
      </c>
      <c r="CY5" s="304">
        <v>67.900000000000006</v>
      </c>
    </row>
    <row r="6" spans="1:103" ht="15.4" customHeight="1" x14ac:dyDescent="0.2">
      <c r="A6" s="163">
        <v>1</v>
      </c>
      <c r="B6" s="267">
        <v>8.6</v>
      </c>
      <c r="C6" s="267">
        <v>3.4</v>
      </c>
      <c r="D6" s="267">
        <v>1.9</v>
      </c>
      <c r="E6" s="267">
        <v>5.2</v>
      </c>
      <c r="F6" s="267">
        <v>6.5</v>
      </c>
      <c r="G6" s="266">
        <v>3.5</v>
      </c>
      <c r="H6" s="221">
        <v>4.6749999999999998</v>
      </c>
      <c r="I6" s="265"/>
      <c r="J6" s="264">
        <v>83</v>
      </c>
      <c r="K6" s="263">
        <v>80</v>
      </c>
      <c r="L6" s="262">
        <v>85</v>
      </c>
      <c r="M6" s="261"/>
      <c r="N6" s="260"/>
      <c r="O6" s="163">
        <v>1</v>
      </c>
      <c r="P6" s="11">
        <v>-1.6255952380952383</v>
      </c>
      <c r="Q6" s="11">
        <v>6.1749999999999998</v>
      </c>
      <c r="R6" s="156">
        <v>2007</v>
      </c>
      <c r="S6" s="11">
        <v>-19.3</v>
      </c>
      <c r="T6" s="156">
        <v>1979</v>
      </c>
      <c r="U6" s="103">
        <f>+H6</f>
        <v>4.6749999999999998</v>
      </c>
      <c r="V6" s="219">
        <v>1.7095238095238094</v>
      </c>
      <c r="W6" s="219">
        <v>9.1</v>
      </c>
      <c r="X6" s="218">
        <v>1979</v>
      </c>
      <c r="Y6" s="219">
        <v>-11.4</v>
      </c>
      <c r="Z6" s="218">
        <v>1997</v>
      </c>
      <c r="AA6" s="103">
        <f>+B6</f>
        <v>8.6</v>
      </c>
      <c r="AB6" s="158">
        <v>1</v>
      </c>
      <c r="AC6" s="216">
        <v>-5.9615384615384608</v>
      </c>
      <c r="AD6" s="59">
        <v>3.7</v>
      </c>
      <c r="AE6" s="215" t="s">
        <v>94</v>
      </c>
      <c r="AF6" s="59">
        <v>-21.7</v>
      </c>
      <c r="AG6" s="215" t="s">
        <v>128</v>
      </c>
      <c r="AH6" s="103">
        <f>VALUE(C6)</f>
        <v>3.4</v>
      </c>
      <c r="AI6" s="158">
        <v>1</v>
      </c>
      <c r="AJ6" s="216">
        <v>-5.7523809523809515</v>
      </c>
      <c r="AK6" s="59">
        <v>3.9</v>
      </c>
      <c r="AL6" s="215" t="s">
        <v>156</v>
      </c>
      <c r="AM6" s="59">
        <v>-17.600000000000001</v>
      </c>
      <c r="AN6" s="215" t="s">
        <v>126</v>
      </c>
      <c r="AO6" s="103">
        <f>VALUE(D6)</f>
        <v>1.9</v>
      </c>
      <c r="AP6" s="214">
        <v>1.1999999999999997</v>
      </c>
      <c r="AQ6" s="213">
        <v>9.5</v>
      </c>
      <c r="AR6" s="212">
        <v>2006</v>
      </c>
      <c r="AS6" s="257">
        <f>VALUE(I6)</f>
        <v>0</v>
      </c>
      <c r="AT6" s="5">
        <f>+AA6-AH6</f>
        <v>5.1999999999999993</v>
      </c>
      <c r="AU6" s="5"/>
      <c r="AV6" s="84"/>
      <c r="AW6" s="238">
        <v>1</v>
      </c>
      <c r="AX6" s="227">
        <v>20</v>
      </c>
      <c r="AY6" s="227">
        <v>9</v>
      </c>
      <c r="AZ6" s="227">
        <v>20</v>
      </c>
      <c r="BA6" s="227">
        <v>4</v>
      </c>
      <c r="BB6" s="227">
        <v>20</v>
      </c>
      <c r="BC6" s="226">
        <v>2</v>
      </c>
      <c r="BD6" s="227">
        <v>3</v>
      </c>
      <c r="BE6" s="227">
        <v>7</v>
      </c>
      <c r="BF6" s="226">
        <v>5</v>
      </c>
      <c r="BG6" s="227">
        <v>1</v>
      </c>
      <c r="BH6" s="227">
        <v>1</v>
      </c>
      <c r="BI6" s="226">
        <v>1</v>
      </c>
      <c r="BJ6" s="227">
        <v>2</v>
      </c>
      <c r="BK6" s="227">
        <v>2</v>
      </c>
      <c r="BL6" s="226">
        <v>2</v>
      </c>
      <c r="BM6" s="237"/>
      <c r="BN6" s="236" t="s">
        <v>127</v>
      </c>
      <c r="BO6" s="295">
        <v>6</v>
      </c>
      <c r="BP6" s="294"/>
      <c r="BQ6" s="306"/>
      <c r="BR6" s="306"/>
      <c r="BS6" s="305"/>
      <c r="BT6"/>
      <c r="BU6"/>
      <c r="BW6" s="171">
        <v>1978</v>
      </c>
      <c r="BX6" s="170">
        <v>-0.5580645161290323</v>
      </c>
      <c r="BY6" s="169">
        <v>3</v>
      </c>
      <c r="BZ6" s="269">
        <v>2018</v>
      </c>
      <c r="CA6" s="304">
        <v>2.5</v>
      </c>
      <c r="CC6" s="171">
        <v>1978</v>
      </c>
      <c r="CD6" s="170">
        <v>2.4</v>
      </c>
      <c r="CE6" s="169">
        <v>3</v>
      </c>
      <c r="CF6" s="20">
        <v>1994</v>
      </c>
      <c r="CG6" s="304">
        <v>5.2290322580645148</v>
      </c>
      <c r="CI6" s="171">
        <v>1978</v>
      </c>
      <c r="CJ6" s="170">
        <v>-2.8516129032258055</v>
      </c>
      <c r="CK6" s="169">
        <v>3</v>
      </c>
      <c r="CL6" s="269">
        <v>2018</v>
      </c>
      <c r="CM6" s="304">
        <v>-0.2</v>
      </c>
      <c r="CO6" s="171">
        <v>1978</v>
      </c>
      <c r="CP6" s="170">
        <v>-3.0967741935483866</v>
      </c>
      <c r="CQ6" s="169">
        <v>3</v>
      </c>
      <c r="CR6" s="269">
        <v>2018</v>
      </c>
      <c r="CS6" s="304">
        <v>-1.5</v>
      </c>
      <c r="CU6" s="171">
        <v>1978</v>
      </c>
      <c r="CV6" s="170">
        <v>19.099999999999998</v>
      </c>
      <c r="CW6" s="169">
        <v>3</v>
      </c>
      <c r="CX6" s="20">
        <v>1976</v>
      </c>
      <c r="CY6" s="304">
        <v>66</v>
      </c>
    </row>
    <row r="7" spans="1:103" ht="15.4" customHeight="1" thickBot="1" x14ac:dyDescent="0.25">
      <c r="A7" s="163">
        <v>2</v>
      </c>
      <c r="B7" s="245">
        <v>6.7</v>
      </c>
      <c r="C7" s="245">
        <v>-1.8</v>
      </c>
      <c r="D7" s="245">
        <v>-5</v>
      </c>
      <c r="E7" s="245">
        <v>4.2</v>
      </c>
      <c r="F7" s="245">
        <v>5.3</v>
      </c>
      <c r="G7" s="244">
        <v>1.1000000000000001</v>
      </c>
      <c r="H7" s="167">
        <v>2.9249999999999998</v>
      </c>
      <c r="I7" s="247"/>
      <c r="J7" s="243">
        <v>80</v>
      </c>
      <c r="K7" s="242">
        <v>78</v>
      </c>
      <c r="L7" s="241">
        <v>91</v>
      </c>
      <c r="M7" s="240"/>
      <c r="N7" s="239"/>
      <c r="O7" s="163">
        <v>2</v>
      </c>
      <c r="P7" s="11">
        <v>-1.2601190476190476</v>
      </c>
      <c r="Q7" s="11">
        <v>6.8</v>
      </c>
      <c r="R7" s="156">
        <v>1998</v>
      </c>
      <c r="S7" s="11">
        <v>-16.3</v>
      </c>
      <c r="T7" s="156">
        <v>1993</v>
      </c>
      <c r="U7" s="103">
        <f>+H7</f>
        <v>2.9249999999999998</v>
      </c>
      <c r="V7" s="176">
        <v>1.1952380952380954</v>
      </c>
      <c r="W7" s="176">
        <v>8.6</v>
      </c>
      <c r="X7" s="175">
        <v>2012</v>
      </c>
      <c r="Y7" s="176">
        <v>-11</v>
      </c>
      <c r="Z7" s="175">
        <v>1997</v>
      </c>
      <c r="AA7" s="103">
        <f>+B7</f>
        <v>6.7</v>
      </c>
      <c r="AB7" s="158">
        <v>2</v>
      </c>
      <c r="AC7" s="157">
        <v>-3.8333333333333335</v>
      </c>
      <c r="AD7" s="11">
        <v>4.0999999999999996</v>
      </c>
      <c r="AE7" s="156" t="s">
        <v>111</v>
      </c>
      <c r="AF7" s="11">
        <v>-22.2</v>
      </c>
      <c r="AG7" s="156" t="s">
        <v>128</v>
      </c>
      <c r="AH7" s="103">
        <f>VALUE(C7)</f>
        <v>-1.8</v>
      </c>
      <c r="AI7" s="158">
        <v>2</v>
      </c>
      <c r="AJ7" s="157">
        <v>-4.5666666666666655</v>
      </c>
      <c r="AK7" s="11">
        <v>3</v>
      </c>
      <c r="AL7" s="156" t="s">
        <v>118</v>
      </c>
      <c r="AM7" s="11">
        <v>-21.7</v>
      </c>
      <c r="AN7" s="156" t="s">
        <v>128</v>
      </c>
      <c r="AO7" s="103">
        <f>VALUE(D7)</f>
        <v>-5</v>
      </c>
      <c r="AP7" s="155">
        <v>2.0450000000000004</v>
      </c>
      <c r="AQ7" s="154">
        <v>17.2</v>
      </c>
      <c r="AR7" s="153">
        <v>2003</v>
      </c>
      <c r="AS7" s="246">
        <f>VALUE(I7)</f>
        <v>0</v>
      </c>
      <c r="AT7" s="5">
        <f>+AA7-AH7</f>
        <v>8.5</v>
      </c>
      <c r="AU7" s="5"/>
      <c r="AV7" s="84"/>
      <c r="AW7" s="238">
        <v>2</v>
      </c>
      <c r="AX7" s="227">
        <v>20</v>
      </c>
      <c r="AY7" s="227">
        <v>7</v>
      </c>
      <c r="AZ7" s="227">
        <v>20</v>
      </c>
      <c r="BA7" s="227">
        <v>4</v>
      </c>
      <c r="BB7" s="227">
        <v>25</v>
      </c>
      <c r="BC7" s="226">
        <v>2</v>
      </c>
      <c r="BD7" s="227">
        <v>5</v>
      </c>
      <c r="BE7" s="227">
        <v>7</v>
      </c>
      <c r="BF7" s="226">
        <v>7</v>
      </c>
      <c r="BG7" s="227">
        <v>1</v>
      </c>
      <c r="BH7" s="227">
        <v>1</v>
      </c>
      <c r="BI7" s="226">
        <v>1</v>
      </c>
      <c r="BJ7" s="227">
        <v>2</v>
      </c>
      <c r="BK7" s="227">
        <v>2</v>
      </c>
      <c r="BL7" s="226">
        <v>2</v>
      </c>
      <c r="BM7" s="237"/>
      <c r="BN7" s="224" t="s">
        <v>146</v>
      </c>
      <c r="BO7" s="292"/>
      <c r="BP7" s="291"/>
      <c r="BQ7" s="291"/>
      <c r="BR7" s="291"/>
      <c r="BS7" s="302"/>
      <c r="BT7"/>
      <c r="BU7"/>
      <c r="BW7" s="171">
        <v>1979</v>
      </c>
      <c r="BX7" s="170">
        <v>-4.4870967741935486</v>
      </c>
      <c r="BY7" s="169">
        <v>4</v>
      </c>
      <c r="BZ7" s="20">
        <v>1994</v>
      </c>
      <c r="CA7" s="304">
        <v>2.4483870967741934</v>
      </c>
      <c r="CC7" s="171">
        <v>1979</v>
      </c>
      <c r="CD7" s="170">
        <v>-1.3516129032258062</v>
      </c>
      <c r="CE7" s="169">
        <v>4</v>
      </c>
      <c r="CF7" s="269">
        <v>2018</v>
      </c>
      <c r="CG7" s="304">
        <v>5.2</v>
      </c>
      <c r="CI7" s="171">
        <v>1979</v>
      </c>
      <c r="CJ7" s="170">
        <v>-9.1096774193548384</v>
      </c>
      <c r="CK7" s="169">
        <v>4</v>
      </c>
      <c r="CL7" s="20">
        <v>1983</v>
      </c>
      <c r="CM7" s="304">
        <v>-0.67096774193548436</v>
      </c>
      <c r="CO7" s="171">
        <v>1979</v>
      </c>
      <c r="CP7" s="170">
        <v>-9.0967741935483879</v>
      </c>
      <c r="CQ7" s="169">
        <v>4</v>
      </c>
      <c r="CR7" s="20">
        <v>1983</v>
      </c>
      <c r="CS7" s="304">
        <v>-1.6129032258064522</v>
      </c>
      <c r="CU7" s="171">
        <v>1979</v>
      </c>
      <c r="CV7" s="170">
        <v>59.800000000000004</v>
      </c>
      <c r="CW7" s="169">
        <v>4</v>
      </c>
      <c r="CX7" s="20">
        <v>2012</v>
      </c>
      <c r="CY7" s="304">
        <v>65.400000000000006</v>
      </c>
    </row>
    <row r="8" spans="1:103" ht="15.4" customHeight="1" thickBot="1" x14ac:dyDescent="0.25">
      <c r="A8" s="163">
        <v>3</v>
      </c>
      <c r="B8" s="245">
        <v>5.0999999999999996</v>
      </c>
      <c r="C8" s="245">
        <v>-0.5</v>
      </c>
      <c r="D8" s="245">
        <v>-3.5</v>
      </c>
      <c r="E8" s="245">
        <v>1.7</v>
      </c>
      <c r="F8" s="245">
        <v>2.7</v>
      </c>
      <c r="G8" s="244">
        <v>4.5</v>
      </c>
      <c r="H8" s="167">
        <v>3.35</v>
      </c>
      <c r="I8" s="247">
        <v>0.5</v>
      </c>
      <c r="J8" s="243">
        <v>86</v>
      </c>
      <c r="K8" s="242">
        <v>86</v>
      </c>
      <c r="L8" s="241">
        <v>83</v>
      </c>
      <c r="M8" s="240"/>
      <c r="N8" s="239"/>
      <c r="O8" s="163">
        <v>3</v>
      </c>
      <c r="P8" s="11">
        <v>-1.7744047619047625</v>
      </c>
      <c r="Q8" s="11">
        <v>8.3000000000000007</v>
      </c>
      <c r="R8" s="156">
        <v>1984</v>
      </c>
      <c r="S8" s="11">
        <v>-20.100000000000001</v>
      </c>
      <c r="T8" s="156">
        <v>1993</v>
      </c>
      <c r="U8" s="103">
        <f>+H8</f>
        <v>3.35</v>
      </c>
      <c r="V8" s="176">
        <v>0.93333333333333302</v>
      </c>
      <c r="W8" s="176">
        <v>10.7</v>
      </c>
      <c r="X8" s="175">
        <v>1984</v>
      </c>
      <c r="Y8" s="176">
        <v>-15</v>
      </c>
      <c r="Z8" s="175">
        <v>1993</v>
      </c>
      <c r="AA8" s="103">
        <f>+B8</f>
        <v>5.0999999999999996</v>
      </c>
      <c r="AB8" s="158">
        <v>3</v>
      </c>
      <c r="AC8" s="157">
        <v>-4.9095238095238107</v>
      </c>
      <c r="AD8" s="11">
        <v>4.8</v>
      </c>
      <c r="AE8" s="156" t="s">
        <v>111</v>
      </c>
      <c r="AF8" s="11">
        <v>-21</v>
      </c>
      <c r="AG8" s="156" t="s">
        <v>108</v>
      </c>
      <c r="AH8" s="103">
        <f>VALUE(C8)</f>
        <v>-0.5</v>
      </c>
      <c r="AI8" s="158">
        <v>3</v>
      </c>
      <c r="AJ8" s="157">
        <v>-5.7047619047619058</v>
      </c>
      <c r="AK8" s="11">
        <v>3.6</v>
      </c>
      <c r="AL8" s="156" t="s">
        <v>111</v>
      </c>
      <c r="AM8" s="11">
        <v>-21.3</v>
      </c>
      <c r="AN8" s="156" t="s">
        <v>126</v>
      </c>
      <c r="AO8" s="103">
        <f>VALUE(D8)</f>
        <v>-3.5</v>
      </c>
      <c r="AP8" s="155">
        <v>1.9525000000000001</v>
      </c>
      <c r="AQ8" s="154">
        <v>11.3</v>
      </c>
      <c r="AR8" s="153">
        <v>1977</v>
      </c>
      <c r="AS8" s="246">
        <f>VALUE(I8)</f>
        <v>0.5</v>
      </c>
      <c r="AT8" s="5">
        <f>+AA8-AH8</f>
        <v>5.6</v>
      </c>
      <c r="AU8" s="5"/>
      <c r="AV8" s="84"/>
      <c r="AW8" s="238">
        <v>3</v>
      </c>
      <c r="AX8" s="227">
        <v>20</v>
      </c>
      <c r="AY8" s="227">
        <v>9</v>
      </c>
      <c r="AZ8" s="227">
        <v>20</v>
      </c>
      <c r="BA8" s="227">
        <v>12</v>
      </c>
      <c r="BB8" s="227">
        <v>25</v>
      </c>
      <c r="BC8" s="226">
        <v>7</v>
      </c>
      <c r="BD8" s="227">
        <v>3</v>
      </c>
      <c r="BE8" s="227">
        <v>10</v>
      </c>
      <c r="BF8" s="226">
        <v>10</v>
      </c>
      <c r="BG8" s="227">
        <v>1</v>
      </c>
      <c r="BH8" s="227">
        <v>2</v>
      </c>
      <c r="BI8" s="226">
        <v>2</v>
      </c>
      <c r="BJ8" s="227">
        <v>1</v>
      </c>
      <c r="BK8" s="227">
        <v>2</v>
      </c>
      <c r="BL8" s="226">
        <v>2</v>
      </c>
      <c r="BM8" s="256" t="s">
        <v>155</v>
      </c>
      <c r="BN8" s="205" t="s">
        <v>134</v>
      </c>
      <c r="BO8" s="205">
        <v>1.3</v>
      </c>
      <c r="BP8" s="96">
        <f>VALUE(B46)</f>
        <v>5.2032258064516137</v>
      </c>
      <c r="BQ8" s="249">
        <f>+BP8-BO8</f>
        <v>3.9032258064516139</v>
      </c>
      <c r="BR8" s="301">
        <f>MAX(B6:B36)</f>
        <v>11.4</v>
      </c>
      <c r="BS8" s="300">
        <f>MIN(B6:B36)</f>
        <v>-1.6</v>
      </c>
      <c r="BT8" s="299">
        <f>VALUE(AA52)</f>
        <v>22</v>
      </c>
      <c r="BU8" s="298">
        <f>VALUE(AA53)</f>
        <v>1</v>
      </c>
      <c r="BW8" s="171">
        <v>1980</v>
      </c>
      <c r="BX8" s="170">
        <v>-4.4709677419354836</v>
      </c>
      <c r="BY8" s="169">
        <v>5</v>
      </c>
      <c r="BZ8" s="20">
        <v>1983</v>
      </c>
      <c r="CA8" s="304">
        <v>2.4064516129032256</v>
      </c>
      <c r="CC8" s="171">
        <v>1980</v>
      </c>
      <c r="CD8" s="170">
        <v>-1.3677419354838705</v>
      </c>
      <c r="CE8" s="169">
        <v>5</v>
      </c>
      <c r="CF8" s="20">
        <v>2008</v>
      </c>
      <c r="CG8" s="304">
        <v>5.0225806451612893</v>
      </c>
      <c r="CI8" s="171">
        <v>1980</v>
      </c>
      <c r="CJ8" s="170">
        <v>-8.1161290322580637</v>
      </c>
      <c r="CK8" s="169">
        <v>5</v>
      </c>
      <c r="CL8" s="20">
        <v>2008</v>
      </c>
      <c r="CM8" s="304">
        <v>-0.99999999999999989</v>
      </c>
      <c r="CO8" s="171">
        <v>1980</v>
      </c>
      <c r="CP8" s="170">
        <v>-7.8290322580645171</v>
      </c>
      <c r="CQ8" s="169">
        <v>5</v>
      </c>
      <c r="CR8" s="20">
        <v>2015</v>
      </c>
      <c r="CS8" s="304">
        <v>-2.2483870967741932</v>
      </c>
      <c r="CU8" s="171">
        <v>1980</v>
      </c>
      <c r="CV8" s="170">
        <v>22.599999999999998</v>
      </c>
      <c r="CW8" s="169">
        <v>5</v>
      </c>
      <c r="CX8" s="20">
        <v>2001</v>
      </c>
      <c r="CY8" s="304">
        <v>65.099999999999994</v>
      </c>
    </row>
    <row r="9" spans="1:103" ht="15.4" customHeight="1" thickBot="1" x14ac:dyDescent="0.25">
      <c r="A9" s="163">
        <v>4</v>
      </c>
      <c r="B9" s="245">
        <v>7.9</v>
      </c>
      <c r="C9" s="245">
        <v>4.3</v>
      </c>
      <c r="D9" s="245">
        <v>1.3</v>
      </c>
      <c r="E9" s="245">
        <v>4.5999999999999996</v>
      </c>
      <c r="F9" s="245">
        <v>5.5</v>
      </c>
      <c r="G9" s="244">
        <v>6.1</v>
      </c>
      <c r="H9" s="167">
        <v>5.5749999999999993</v>
      </c>
      <c r="I9" s="247">
        <v>1</v>
      </c>
      <c r="J9" s="243">
        <v>77</v>
      </c>
      <c r="K9" s="242">
        <v>71</v>
      </c>
      <c r="L9" s="241">
        <v>66</v>
      </c>
      <c r="M9" s="240"/>
      <c r="N9" s="239"/>
      <c r="O9" s="163">
        <v>4</v>
      </c>
      <c r="P9" s="11">
        <v>-1.8059523809523812</v>
      </c>
      <c r="Q9" s="11">
        <v>7.375</v>
      </c>
      <c r="R9" s="156">
        <v>2014</v>
      </c>
      <c r="S9" s="11">
        <v>-18.149999999999999</v>
      </c>
      <c r="T9" s="156">
        <v>2002</v>
      </c>
      <c r="U9" s="103">
        <f>+H9</f>
        <v>5.5749999999999993</v>
      </c>
      <c r="V9" s="176">
        <v>1.3309523809523813</v>
      </c>
      <c r="W9" s="176">
        <v>11.4</v>
      </c>
      <c r="X9" s="175">
        <v>1991</v>
      </c>
      <c r="Y9" s="176">
        <v>-12</v>
      </c>
      <c r="Z9" s="175">
        <v>2002</v>
      </c>
      <c r="AA9" s="103">
        <f>+B9</f>
        <v>7.9</v>
      </c>
      <c r="AB9" s="158">
        <v>4</v>
      </c>
      <c r="AC9" s="157">
        <v>-5.5690476190476188</v>
      </c>
      <c r="AD9" s="11">
        <v>4.8</v>
      </c>
      <c r="AE9" s="156" t="s">
        <v>151</v>
      </c>
      <c r="AF9" s="11">
        <v>-27</v>
      </c>
      <c r="AG9" s="156" t="s">
        <v>108</v>
      </c>
      <c r="AH9" s="103">
        <f>VALUE(C9)</f>
        <v>4.3</v>
      </c>
      <c r="AI9" s="158">
        <v>4</v>
      </c>
      <c r="AJ9" s="157">
        <v>-5.961904761904762</v>
      </c>
      <c r="AK9" s="11">
        <v>5.0999999999999996</v>
      </c>
      <c r="AL9" s="156" t="s">
        <v>154</v>
      </c>
      <c r="AM9" s="11">
        <v>-27</v>
      </c>
      <c r="AN9" s="156" t="s">
        <v>108</v>
      </c>
      <c r="AO9" s="103">
        <f>VALUE(D9)</f>
        <v>1.3</v>
      </c>
      <c r="AP9" s="155">
        <v>1.5074999999999996</v>
      </c>
      <c r="AQ9" s="154">
        <v>14.4</v>
      </c>
      <c r="AR9" s="153">
        <v>1997</v>
      </c>
      <c r="AS9" s="246">
        <f>VALUE(I9)</f>
        <v>1</v>
      </c>
      <c r="AT9" s="5">
        <f>+AA9-AH9</f>
        <v>3.6000000000000005</v>
      </c>
      <c r="AU9" s="5"/>
      <c r="AV9" s="84"/>
      <c r="AW9" s="238">
        <v>4</v>
      </c>
      <c r="AX9" s="227">
        <v>20</v>
      </c>
      <c r="AY9" s="227">
        <v>7</v>
      </c>
      <c r="AZ9" s="227">
        <v>20</v>
      </c>
      <c r="BA9" s="227">
        <v>7</v>
      </c>
      <c r="BB9" s="227">
        <v>20</v>
      </c>
      <c r="BC9" s="226">
        <v>9</v>
      </c>
      <c r="BD9" s="227">
        <v>6</v>
      </c>
      <c r="BE9" s="227">
        <v>8</v>
      </c>
      <c r="BF9" s="226">
        <v>7</v>
      </c>
      <c r="BG9" s="227">
        <v>1</v>
      </c>
      <c r="BH9" s="227">
        <v>2</v>
      </c>
      <c r="BI9" s="226">
        <v>1</v>
      </c>
      <c r="BJ9" s="227">
        <v>1</v>
      </c>
      <c r="BK9" s="227">
        <v>1</v>
      </c>
      <c r="BL9" s="226">
        <v>1</v>
      </c>
      <c r="BM9" s="237"/>
      <c r="BN9" s="236" t="s">
        <v>133</v>
      </c>
      <c r="BO9" s="236">
        <v>1.3</v>
      </c>
      <c r="BP9" s="68">
        <f>VALUE(BP8)</f>
        <v>5.2032258064516137</v>
      </c>
      <c r="BQ9" s="296">
        <f>+BP9-BO9</f>
        <v>3.9032258064516139</v>
      </c>
      <c r="BR9" s="224">
        <f>VALUE(BR8)</f>
        <v>11.4</v>
      </c>
      <c r="BS9" s="223">
        <f>VALUE(BS8)</f>
        <v>-1.6</v>
      </c>
      <c r="BT9"/>
      <c r="BU9"/>
      <c r="BW9" s="171">
        <v>1981</v>
      </c>
      <c r="BX9" s="170">
        <v>-4.064516129032258</v>
      </c>
      <c r="BY9" s="169">
        <v>6</v>
      </c>
      <c r="BZ9" s="20">
        <v>2008</v>
      </c>
      <c r="CA9" s="304">
        <v>2.3524193548387107</v>
      </c>
      <c r="CC9" s="171">
        <v>1981</v>
      </c>
      <c r="CD9" s="170">
        <v>-0.91290322580645167</v>
      </c>
      <c r="CE9" s="169">
        <v>6</v>
      </c>
      <c r="CF9" s="20">
        <v>1983</v>
      </c>
      <c r="CG9" s="304">
        <v>4.8677419354838714</v>
      </c>
      <c r="CI9" s="171">
        <v>1981</v>
      </c>
      <c r="CJ9" s="170">
        <v>-7.848387096774192</v>
      </c>
      <c r="CK9" s="169">
        <v>6</v>
      </c>
      <c r="CL9" s="20">
        <v>2015</v>
      </c>
      <c r="CM9" s="297">
        <v>-1.5774193548387097</v>
      </c>
      <c r="CO9" s="171">
        <v>1981</v>
      </c>
      <c r="CP9" s="170">
        <v>-9.5838709677419356</v>
      </c>
      <c r="CQ9" s="169">
        <v>6</v>
      </c>
      <c r="CR9" s="20">
        <v>1988</v>
      </c>
      <c r="CS9" s="297">
        <v>-2.3193548387096778</v>
      </c>
      <c r="CU9" s="171">
        <v>1981</v>
      </c>
      <c r="CV9" s="170">
        <v>33.70000000000001</v>
      </c>
      <c r="CW9" s="169">
        <v>6</v>
      </c>
      <c r="CX9" s="20">
        <v>1995</v>
      </c>
      <c r="CY9" s="297">
        <v>60.800000000000004</v>
      </c>
    </row>
    <row r="10" spans="1:103" ht="15.4" customHeight="1" thickBot="1" x14ac:dyDescent="0.25">
      <c r="A10" s="86">
        <v>5</v>
      </c>
      <c r="B10" s="245">
        <v>8.6</v>
      </c>
      <c r="C10" s="245">
        <v>4.5</v>
      </c>
      <c r="D10" s="245">
        <v>3.4</v>
      </c>
      <c r="E10" s="245">
        <v>5.3</v>
      </c>
      <c r="F10" s="245">
        <v>8</v>
      </c>
      <c r="G10" s="244">
        <v>8.1</v>
      </c>
      <c r="H10" s="167">
        <v>7.375</v>
      </c>
      <c r="I10" s="247">
        <v>0.5</v>
      </c>
      <c r="J10" s="243">
        <v>91</v>
      </c>
      <c r="K10" s="242">
        <v>74</v>
      </c>
      <c r="L10" s="241">
        <v>72</v>
      </c>
      <c r="M10" s="240"/>
      <c r="N10" s="239"/>
      <c r="O10" s="86">
        <v>5</v>
      </c>
      <c r="P10" s="26">
        <v>-1.4017857142857146</v>
      </c>
      <c r="Q10" s="26">
        <v>8.5</v>
      </c>
      <c r="R10" s="193">
        <v>1988</v>
      </c>
      <c r="S10" s="26">
        <v>-13.7</v>
      </c>
      <c r="T10" s="193">
        <v>1985</v>
      </c>
      <c r="U10" s="103">
        <f>+H10</f>
        <v>7.375</v>
      </c>
      <c r="V10" s="161">
        <v>1.1238095238095243</v>
      </c>
      <c r="W10" s="161">
        <v>11.4</v>
      </c>
      <c r="X10" s="160">
        <v>2014</v>
      </c>
      <c r="Y10" s="161">
        <v>-10.5</v>
      </c>
      <c r="Z10" s="160">
        <v>1985</v>
      </c>
      <c r="AA10" s="103">
        <f>+B10</f>
        <v>8.6</v>
      </c>
      <c r="AB10" s="195">
        <v>5</v>
      </c>
      <c r="AC10" s="194">
        <v>-5.4642857142857153</v>
      </c>
      <c r="AD10" s="26">
        <v>6.3</v>
      </c>
      <c r="AE10" s="193" t="s">
        <v>109</v>
      </c>
      <c r="AF10" s="26">
        <v>-21.3</v>
      </c>
      <c r="AG10" s="193" t="s">
        <v>98</v>
      </c>
      <c r="AH10" s="103">
        <f>VALUE(C10)</f>
        <v>4.5</v>
      </c>
      <c r="AI10" s="195">
        <v>5</v>
      </c>
      <c r="AJ10" s="194">
        <v>-6.3857142857142852</v>
      </c>
      <c r="AK10" s="26">
        <v>6.2</v>
      </c>
      <c r="AL10" s="193" t="s">
        <v>109</v>
      </c>
      <c r="AM10" s="26">
        <v>-24.5</v>
      </c>
      <c r="AN10" s="193" t="s">
        <v>153</v>
      </c>
      <c r="AO10" s="103">
        <f>VALUE(D10)</f>
        <v>3.4</v>
      </c>
      <c r="AP10" s="192">
        <v>1.22</v>
      </c>
      <c r="AQ10" s="191">
        <v>7.8</v>
      </c>
      <c r="AR10" s="190">
        <v>2012</v>
      </c>
      <c r="AS10" s="246">
        <f>VALUE(I10)</f>
        <v>0.5</v>
      </c>
      <c r="AT10" s="5">
        <f>+AA10-AH10</f>
        <v>4.0999999999999996</v>
      </c>
      <c r="AU10" s="5"/>
      <c r="AV10" s="84"/>
      <c r="AW10" s="238">
        <v>5</v>
      </c>
      <c r="AX10" s="274">
        <v>20</v>
      </c>
      <c r="AY10" s="274">
        <v>4</v>
      </c>
      <c r="AZ10" s="274">
        <v>20</v>
      </c>
      <c r="BA10" s="274">
        <v>9</v>
      </c>
      <c r="BB10" s="274">
        <v>20</v>
      </c>
      <c r="BC10" s="273">
        <v>7</v>
      </c>
      <c r="BD10" s="274">
        <v>7</v>
      </c>
      <c r="BE10" s="274">
        <v>8</v>
      </c>
      <c r="BF10" s="273">
        <v>10</v>
      </c>
      <c r="BG10" s="274">
        <v>1</v>
      </c>
      <c r="BH10" s="274">
        <v>2</v>
      </c>
      <c r="BI10" s="273">
        <v>2</v>
      </c>
      <c r="BJ10" s="274">
        <v>2</v>
      </c>
      <c r="BK10" s="274">
        <v>1</v>
      </c>
      <c r="BL10" s="273">
        <v>1</v>
      </c>
      <c r="BM10" s="237"/>
      <c r="BN10" s="236" t="s">
        <v>127</v>
      </c>
      <c r="BO10" s="295">
        <v>9</v>
      </c>
      <c r="BP10" s="294"/>
      <c r="BQ10" s="294"/>
      <c r="BR10" s="294"/>
      <c r="BS10" s="293"/>
      <c r="BT10"/>
      <c r="BU10"/>
      <c r="BW10" s="171">
        <v>1982</v>
      </c>
      <c r="BX10" s="170">
        <v>-4.6193548387096772</v>
      </c>
      <c r="BY10" s="169">
        <v>7</v>
      </c>
      <c r="BZ10" s="20">
        <v>1993</v>
      </c>
      <c r="CA10" s="297">
        <v>1.883870967741935</v>
      </c>
      <c r="CC10" s="171">
        <v>1982</v>
      </c>
      <c r="CD10" s="170">
        <v>-1.232258064516129</v>
      </c>
      <c r="CE10" s="169">
        <v>7</v>
      </c>
      <c r="CF10" s="20">
        <v>2014</v>
      </c>
      <c r="CG10" s="297">
        <v>4.0870967741935473</v>
      </c>
      <c r="CI10" s="171">
        <v>1982</v>
      </c>
      <c r="CJ10" s="170">
        <v>-8.6903225806451623</v>
      </c>
      <c r="CK10" s="169">
        <v>7</v>
      </c>
      <c r="CL10" s="20">
        <v>1999</v>
      </c>
      <c r="CM10" s="297">
        <v>-2.0064516129032257</v>
      </c>
      <c r="CO10" s="171">
        <v>1982</v>
      </c>
      <c r="CP10" s="170">
        <v>-8.6903225806451623</v>
      </c>
      <c r="CQ10" s="169">
        <v>7</v>
      </c>
      <c r="CR10" s="20">
        <v>2014</v>
      </c>
      <c r="CS10" s="297">
        <v>-2.5838709677419351</v>
      </c>
      <c r="CU10" s="171">
        <v>1982</v>
      </c>
      <c r="CV10" s="170">
        <v>21</v>
      </c>
      <c r="CW10" s="169">
        <v>7</v>
      </c>
      <c r="CX10" s="20">
        <v>1979</v>
      </c>
      <c r="CY10" s="297">
        <v>59.800000000000004</v>
      </c>
    </row>
    <row r="11" spans="1:103" ht="15.4" customHeight="1" thickBot="1" x14ac:dyDescent="0.25">
      <c r="A11" s="163">
        <v>6</v>
      </c>
      <c r="B11" s="267">
        <v>11.3</v>
      </c>
      <c r="C11" s="267">
        <v>4.4000000000000004</v>
      </c>
      <c r="D11" s="267">
        <v>5.3</v>
      </c>
      <c r="E11" s="267">
        <v>8</v>
      </c>
      <c r="F11" s="267">
        <v>10.5</v>
      </c>
      <c r="G11" s="266">
        <v>6.5</v>
      </c>
      <c r="H11" s="221">
        <v>7.875</v>
      </c>
      <c r="I11" s="265"/>
      <c r="J11" s="264">
        <v>86</v>
      </c>
      <c r="K11" s="263">
        <v>74</v>
      </c>
      <c r="L11" s="262">
        <v>90</v>
      </c>
      <c r="M11" s="261"/>
      <c r="N11" s="260"/>
      <c r="O11" s="163">
        <v>6</v>
      </c>
      <c r="P11" s="11">
        <v>-2.3666666666666667</v>
      </c>
      <c r="Q11" s="11">
        <v>7.6</v>
      </c>
      <c r="R11" s="156">
        <v>1994</v>
      </c>
      <c r="S11" s="11">
        <v>-21.1</v>
      </c>
      <c r="T11" s="156">
        <v>1985</v>
      </c>
      <c r="U11" s="184">
        <f>+H11</f>
        <v>7.875</v>
      </c>
      <c r="V11" s="259">
        <v>0.61190476190476151</v>
      </c>
      <c r="W11" s="259">
        <v>12.2</v>
      </c>
      <c r="X11" s="258">
        <v>1999</v>
      </c>
      <c r="Y11" s="259">
        <v>-13.2</v>
      </c>
      <c r="Z11" s="258">
        <v>1985</v>
      </c>
      <c r="AA11" s="184">
        <f>+B11</f>
        <v>11.3</v>
      </c>
      <c r="AB11" s="158">
        <v>6</v>
      </c>
      <c r="AC11" s="157">
        <v>-5.511904761904761</v>
      </c>
      <c r="AD11" s="11">
        <v>5.7</v>
      </c>
      <c r="AE11" s="156" t="s">
        <v>129</v>
      </c>
      <c r="AF11" s="11">
        <v>-27.8</v>
      </c>
      <c r="AG11" s="156" t="s">
        <v>100</v>
      </c>
      <c r="AH11" s="184">
        <f>VALUE(C11)</f>
        <v>4.4000000000000004</v>
      </c>
      <c r="AI11" s="158">
        <v>6</v>
      </c>
      <c r="AJ11" s="157">
        <v>-5.9619047619047612</v>
      </c>
      <c r="AK11" s="11">
        <v>5</v>
      </c>
      <c r="AL11" s="156" t="s">
        <v>139</v>
      </c>
      <c r="AM11" s="11">
        <v>-28.5</v>
      </c>
      <c r="AN11" s="156" t="s">
        <v>100</v>
      </c>
      <c r="AO11" s="184">
        <f>VALUE(D11)</f>
        <v>5.3</v>
      </c>
      <c r="AP11" s="155">
        <v>0.85249999999999981</v>
      </c>
      <c r="AQ11" s="154">
        <v>7</v>
      </c>
      <c r="AR11" s="153">
        <v>2013</v>
      </c>
      <c r="AS11" s="257">
        <f>VALUE(I11)</f>
        <v>0</v>
      </c>
      <c r="AT11" s="5">
        <f>+AA11-AH11</f>
        <v>6.9</v>
      </c>
      <c r="AU11" s="5"/>
      <c r="AV11" s="84"/>
      <c r="AW11" s="303">
        <v>6</v>
      </c>
      <c r="AX11" s="227">
        <v>20</v>
      </c>
      <c r="AY11" s="227">
        <v>4</v>
      </c>
      <c r="AZ11" s="227">
        <v>20</v>
      </c>
      <c r="BA11" s="227">
        <v>4</v>
      </c>
      <c r="BB11" s="227">
        <v>0</v>
      </c>
      <c r="BC11" s="226">
        <v>0</v>
      </c>
      <c r="BD11" s="227">
        <v>9</v>
      </c>
      <c r="BE11" s="227">
        <v>4</v>
      </c>
      <c r="BF11" s="226">
        <v>4</v>
      </c>
      <c r="BG11" s="227">
        <v>2</v>
      </c>
      <c r="BH11" s="227">
        <v>1</v>
      </c>
      <c r="BI11" s="226">
        <v>1</v>
      </c>
      <c r="BJ11" s="227">
        <v>1</v>
      </c>
      <c r="BK11" s="227">
        <v>1</v>
      </c>
      <c r="BL11" s="226">
        <v>1</v>
      </c>
      <c r="BM11" s="237"/>
      <c r="BN11" s="252" t="s">
        <v>146</v>
      </c>
      <c r="BO11" s="292"/>
      <c r="BP11" s="291"/>
      <c r="BQ11" s="291"/>
      <c r="BR11" s="291"/>
      <c r="BS11" s="302"/>
      <c r="BT11"/>
      <c r="BU11"/>
      <c r="BW11" s="171">
        <v>1983</v>
      </c>
      <c r="BX11" s="170">
        <v>2.4064516129032256</v>
      </c>
      <c r="BY11" s="169">
        <v>8</v>
      </c>
      <c r="BZ11" s="20">
        <v>2015</v>
      </c>
      <c r="CA11" s="297">
        <v>1.3782258064516124</v>
      </c>
      <c r="CC11" s="171">
        <v>1983</v>
      </c>
      <c r="CD11" s="170">
        <v>4.8677419354838714</v>
      </c>
      <c r="CE11" s="169">
        <v>8</v>
      </c>
      <c r="CF11" s="20">
        <v>1998</v>
      </c>
      <c r="CG11" s="297">
        <v>3.8741935483870966</v>
      </c>
      <c r="CI11" s="171">
        <v>1983</v>
      </c>
      <c r="CJ11" s="170">
        <v>-0.67096774193548436</v>
      </c>
      <c r="CK11" s="169">
        <v>8</v>
      </c>
      <c r="CL11" s="20">
        <v>2014</v>
      </c>
      <c r="CM11" s="297">
        <v>-2.2645161290322577</v>
      </c>
      <c r="CO11" s="171">
        <v>1983</v>
      </c>
      <c r="CP11" s="170">
        <v>-1.6129032258064522</v>
      </c>
      <c r="CQ11" s="169">
        <v>8</v>
      </c>
      <c r="CR11" s="20">
        <v>1998</v>
      </c>
      <c r="CS11" s="297">
        <v>-2.8838709677419354</v>
      </c>
      <c r="CU11" s="171">
        <v>1983</v>
      </c>
      <c r="CV11" s="170">
        <v>36.700000000000003</v>
      </c>
      <c r="CW11" s="169">
        <v>8</v>
      </c>
      <c r="CX11" s="20">
        <v>2010</v>
      </c>
      <c r="CY11" s="297">
        <v>57.900000000000013</v>
      </c>
    </row>
    <row r="12" spans="1:103" ht="15.4" customHeight="1" thickBot="1" x14ac:dyDescent="0.25">
      <c r="A12" s="163">
        <v>7</v>
      </c>
      <c r="B12" s="245">
        <v>7.8</v>
      </c>
      <c r="C12" s="245">
        <v>4</v>
      </c>
      <c r="D12" s="245">
        <v>1.9</v>
      </c>
      <c r="E12" s="245">
        <v>7.4</v>
      </c>
      <c r="F12" s="245">
        <v>5.3</v>
      </c>
      <c r="G12" s="244">
        <v>4.0999999999999996</v>
      </c>
      <c r="H12" s="167">
        <v>5.2249999999999996</v>
      </c>
      <c r="I12" s="247">
        <v>1.9</v>
      </c>
      <c r="J12" s="243">
        <v>90</v>
      </c>
      <c r="K12" s="242">
        <v>98</v>
      </c>
      <c r="L12" s="241">
        <v>98</v>
      </c>
      <c r="M12" s="240"/>
      <c r="N12" s="239"/>
      <c r="O12" s="163">
        <v>7</v>
      </c>
      <c r="P12" s="11">
        <v>-2.1154761904761901</v>
      </c>
      <c r="Q12" s="11">
        <v>11.1</v>
      </c>
      <c r="R12" s="156">
        <v>1994</v>
      </c>
      <c r="S12" s="11">
        <v>-23.6</v>
      </c>
      <c r="T12" s="156">
        <v>1985</v>
      </c>
      <c r="U12" s="103">
        <f>+H12</f>
        <v>5.2249999999999996</v>
      </c>
      <c r="V12" s="176">
        <v>0.57857142857142885</v>
      </c>
      <c r="W12" s="176">
        <v>12.6</v>
      </c>
      <c r="X12" s="175">
        <v>1994</v>
      </c>
      <c r="Y12" s="176">
        <v>-16</v>
      </c>
      <c r="Z12" s="175">
        <v>1985</v>
      </c>
      <c r="AA12" s="103">
        <f>+B12</f>
        <v>7.8</v>
      </c>
      <c r="AB12" s="158">
        <v>7</v>
      </c>
      <c r="AC12" s="157">
        <v>-6.0380952380952371</v>
      </c>
      <c r="AD12" s="11">
        <v>4.5999999999999996</v>
      </c>
      <c r="AE12" s="156" t="s">
        <v>94</v>
      </c>
      <c r="AF12" s="11">
        <v>-29.8</v>
      </c>
      <c r="AG12" s="156" t="s">
        <v>100</v>
      </c>
      <c r="AH12" s="103">
        <f>VALUE(C12)</f>
        <v>4</v>
      </c>
      <c r="AI12" s="158">
        <v>7</v>
      </c>
      <c r="AJ12" s="157">
        <v>-6.7857142857142856</v>
      </c>
      <c r="AK12" s="11">
        <v>4.8</v>
      </c>
      <c r="AL12" s="156" t="s">
        <v>94</v>
      </c>
      <c r="AM12" s="11">
        <v>-29.8</v>
      </c>
      <c r="AN12" s="156" t="s">
        <v>100</v>
      </c>
      <c r="AO12" s="103">
        <f>VALUE(D12)</f>
        <v>1.9</v>
      </c>
      <c r="AP12" s="155">
        <v>1.1999999999999997</v>
      </c>
      <c r="AQ12" s="154">
        <v>10.199999999999999</v>
      </c>
      <c r="AR12" s="153">
        <v>2001</v>
      </c>
      <c r="AS12" s="246">
        <f>VALUE(I12)</f>
        <v>1.9</v>
      </c>
      <c r="AT12" s="5">
        <f>+AA12-AH12</f>
        <v>3.8</v>
      </c>
      <c r="AU12" s="5"/>
      <c r="AV12" s="84"/>
      <c r="AW12" s="238">
        <v>7</v>
      </c>
      <c r="AX12" s="227">
        <v>0</v>
      </c>
      <c r="AY12" s="227">
        <v>0</v>
      </c>
      <c r="AZ12" s="227">
        <v>36</v>
      </c>
      <c r="BA12" s="227">
        <v>4</v>
      </c>
      <c r="BB12" s="227">
        <v>4</v>
      </c>
      <c r="BC12" s="226">
        <v>4</v>
      </c>
      <c r="BD12" s="227">
        <v>10</v>
      </c>
      <c r="BE12" s="227">
        <v>10</v>
      </c>
      <c r="BF12" s="226">
        <v>10</v>
      </c>
      <c r="BG12" s="227">
        <v>4</v>
      </c>
      <c r="BH12" s="227">
        <v>5</v>
      </c>
      <c r="BI12" s="226">
        <v>4</v>
      </c>
      <c r="BJ12" s="227">
        <v>1</v>
      </c>
      <c r="BK12" s="227">
        <v>2</v>
      </c>
      <c r="BL12" s="226">
        <v>2</v>
      </c>
      <c r="BM12" s="256" t="s">
        <v>150</v>
      </c>
      <c r="BN12" s="250" t="s">
        <v>134</v>
      </c>
      <c r="BO12" s="249">
        <v>-4.7</v>
      </c>
      <c r="BP12" s="249">
        <f>VALUE(C46)</f>
        <v>-0.24838709677419377</v>
      </c>
      <c r="BQ12" s="249">
        <f>+BP12-BO12</f>
        <v>4.4516129032258061</v>
      </c>
      <c r="BR12" s="301">
        <f>MAX(C6:C36)</f>
        <v>5</v>
      </c>
      <c r="BS12" s="300">
        <f>MIN(C6:C36)</f>
        <v>-7.9</v>
      </c>
      <c r="BT12" s="299">
        <f>VALUE(AH52)</f>
        <v>9</v>
      </c>
      <c r="BU12" s="298">
        <f>VALUE(AH53)</f>
        <v>2</v>
      </c>
      <c r="BW12" s="171">
        <v>1984</v>
      </c>
      <c r="BX12" s="170">
        <v>-0.13870967741935478</v>
      </c>
      <c r="BY12" s="169">
        <v>9</v>
      </c>
      <c r="BZ12" s="20">
        <v>2014</v>
      </c>
      <c r="CA12" s="297">
        <v>1.0766129032258069</v>
      </c>
      <c r="CC12" s="171">
        <v>1984</v>
      </c>
      <c r="CD12" s="170">
        <v>2.2516129032258068</v>
      </c>
      <c r="CE12" s="169">
        <v>9</v>
      </c>
      <c r="CF12" s="20">
        <v>1993</v>
      </c>
      <c r="CG12" s="297">
        <v>3.6967741935483875</v>
      </c>
      <c r="CI12" s="171">
        <v>1984</v>
      </c>
      <c r="CJ12" s="170">
        <v>-3.0935483870967744</v>
      </c>
      <c r="CK12" s="169">
        <v>9</v>
      </c>
      <c r="CL12" s="20">
        <v>1998</v>
      </c>
      <c r="CM12" s="297">
        <v>-2.4903225806451608</v>
      </c>
      <c r="CO12" s="171">
        <v>1984</v>
      </c>
      <c r="CP12" s="170">
        <v>-4.2387096774193553</v>
      </c>
      <c r="CQ12" s="169">
        <v>9</v>
      </c>
      <c r="CR12" s="20">
        <v>1994</v>
      </c>
      <c r="CS12" s="297">
        <v>-2.9935483870967738</v>
      </c>
      <c r="CU12" s="171">
        <v>1984</v>
      </c>
      <c r="CV12" s="170">
        <v>46.499999999999993</v>
      </c>
      <c r="CW12" s="169">
        <v>9</v>
      </c>
      <c r="CX12" s="20">
        <v>1987</v>
      </c>
      <c r="CY12" s="297">
        <v>55.599999999999994</v>
      </c>
    </row>
    <row r="13" spans="1:103" ht="15.4" customHeight="1" thickBot="1" x14ac:dyDescent="0.25">
      <c r="A13" s="163">
        <v>8</v>
      </c>
      <c r="B13" s="245">
        <v>4.2</v>
      </c>
      <c r="C13" s="245">
        <v>0.6</v>
      </c>
      <c r="D13" s="245">
        <v>0.9</v>
      </c>
      <c r="E13" s="245">
        <v>1.4</v>
      </c>
      <c r="F13" s="245">
        <v>0.8</v>
      </c>
      <c r="G13" s="244">
        <v>0.8</v>
      </c>
      <c r="H13" s="167">
        <v>0.95</v>
      </c>
      <c r="I13" s="247">
        <v>0.9</v>
      </c>
      <c r="J13" s="243">
        <v>98</v>
      </c>
      <c r="K13" s="242">
        <v>96</v>
      </c>
      <c r="L13" s="241">
        <v>100</v>
      </c>
      <c r="M13" s="240"/>
      <c r="N13" s="239"/>
      <c r="O13" s="163">
        <v>8</v>
      </c>
      <c r="P13" s="11">
        <v>-2.4976190476190476</v>
      </c>
      <c r="Q13" s="11">
        <v>9.35</v>
      </c>
      <c r="R13" s="156">
        <v>2005</v>
      </c>
      <c r="S13" s="11">
        <v>-24.2</v>
      </c>
      <c r="T13" s="156">
        <v>1985</v>
      </c>
      <c r="U13" s="103">
        <f>+H13</f>
        <v>0.95</v>
      </c>
      <c r="V13" s="176">
        <v>0.7238095238095239</v>
      </c>
      <c r="W13" s="176">
        <v>13.2</v>
      </c>
      <c r="X13" s="175">
        <v>1994</v>
      </c>
      <c r="Y13" s="176">
        <v>-12.4</v>
      </c>
      <c r="Z13" s="175">
        <v>1985</v>
      </c>
      <c r="AA13" s="103">
        <f>+B13</f>
        <v>4.2</v>
      </c>
      <c r="AB13" s="158">
        <v>8</v>
      </c>
      <c r="AC13" s="157">
        <v>-5.7904761904761886</v>
      </c>
      <c r="AD13" s="11">
        <v>5.8</v>
      </c>
      <c r="AE13" s="156" t="s">
        <v>152</v>
      </c>
      <c r="AF13" s="11">
        <v>-30.2</v>
      </c>
      <c r="AG13" s="156" t="s">
        <v>100</v>
      </c>
      <c r="AH13" s="103">
        <f>VALUE(C13)</f>
        <v>0.6</v>
      </c>
      <c r="AI13" s="158">
        <v>8</v>
      </c>
      <c r="AJ13" s="157">
        <v>-6.5857142857142863</v>
      </c>
      <c r="AK13" s="11">
        <v>5.8</v>
      </c>
      <c r="AL13" s="156" t="s">
        <v>152</v>
      </c>
      <c r="AM13" s="11">
        <v>-30.8</v>
      </c>
      <c r="AN13" s="156" t="s">
        <v>100</v>
      </c>
      <c r="AO13" s="103">
        <f>VALUE(D13)</f>
        <v>0.9</v>
      </c>
      <c r="AP13" s="155">
        <v>2.0300000000000002</v>
      </c>
      <c r="AQ13" s="154">
        <v>29</v>
      </c>
      <c r="AR13" s="153">
        <v>2001</v>
      </c>
      <c r="AS13" s="246">
        <f>VALUE(I13)</f>
        <v>0.9</v>
      </c>
      <c r="AT13" s="5">
        <f>+AA13-AH13</f>
        <v>3.6</v>
      </c>
      <c r="AU13" s="5"/>
      <c r="AV13" s="84"/>
      <c r="AW13" s="238">
        <v>8</v>
      </c>
      <c r="AX13" s="227">
        <v>2</v>
      </c>
      <c r="AY13" s="227">
        <v>4</v>
      </c>
      <c r="AZ13" s="227">
        <v>2</v>
      </c>
      <c r="BA13" s="227">
        <v>4</v>
      </c>
      <c r="BB13" s="227">
        <v>4</v>
      </c>
      <c r="BC13" s="226">
        <v>2</v>
      </c>
      <c r="BD13" s="227">
        <v>10</v>
      </c>
      <c r="BE13" s="227">
        <v>10</v>
      </c>
      <c r="BF13" s="226">
        <v>10</v>
      </c>
      <c r="BG13" s="227">
        <v>6</v>
      </c>
      <c r="BH13" s="227">
        <v>4</v>
      </c>
      <c r="BI13" s="226">
        <v>4</v>
      </c>
      <c r="BJ13" s="227">
        <v>2</v>
      </c>
      <c r="BK13" s="227">
        <v>2</v>
      </c>
      <c r="BL13" s="226">
        <v>2</v>
      </c>
      <c r="BM13" s="237"/>
      <c r="BN13" s="236" t="s">
        <v>133</v>
      </c>
      <c r="BO13" s="68">
        <v>-4.7</v>
      </c>
      <c r="BP13" s="68">
        <f>VALUE(BP12)</f>
        <v>-0.24838709677419377</v>
      </c>
      <c r="BQ13" s="296">
        <f>+BP13-BO13</f>
        <v>4.4516129032258061</v>
      </c>
      <c r="BR13" s="55">
        <f>VALUE(BR12)</f>
        <v>5</v>
      </c>
      <c r="BS13" s="223">
        <f>VALUE(BS12)</f>
        <v>-7.9</v>
      </c>
      <c r="BT13"/>
      <c r="BU13"/>
      <c r="BW13" s="171">
        <v>1985</v>
      </c>
      <c r="BX13" s="170">
        <v>-8.5225806451612893</v>
      </c>
      <c r="BY13" s="169">
        <v>10</v>
      </c>
      <c r="BZ13" s="20">
        <v>1998</v>
      </c>
      <c r="CA13" s="297">
        <v>0.79032258064516203</v>
      </c>
      <c r="CC13" s="171">
        <v>1985</v>
      </c>
      <c r="CD13" s="170">
        <v>-3.8838709677419332</v>
      </c>
      <c r="CE13" s="169">
        <v>10</v>
      </c>
      <c r="CF13" s="20">
        <v>2015</v>
      </c>
      <c r="CG13" s="297">
        <v>3.6806451612903235</v>
      </c>
      <c r="CI13" s="171">
        <v>1985</v>
      </c>
      <c r="CJ13" s="170">
        <v>-13.467741935483867</v>
      </c>
      <c r="CK13" s="169">
        <v>10</v>
      </c>
      <c r="CL13" s="20">
        <v>1990</v>
      </c>
      <c r="CM13" s="297">
        <v>-2.5935483870967739</v>
      </c>
      <c r="CO13" s="171">
        <v>1985</v>
      </c>
      <c r="CP13" s="170">
        <v>-14.070967741935483</v>
      </c>
      <c r="CQ13" s="169">
        <v>10</v>
      </c>
      <c r="CR13" s="20">
        <v>1978</v>
      </c>
      <c r="CS13" s="297">
        <v>-3.0967741935483866</v>
      </c>
      <c r="CU13" s="171">
        <v>1985</v>
      </c>
      <c r="CV13" s="170">
        <v>37.1</v>
      </c>
      <c r="CW13" s="169">
        <v>10</v>
      </c>
      <c r="CX13" s="20">
        <v>2015</v>
      </c>
      <c r="CY13" s="297">
        <v>53.9</v>
      </c>
    </row>
    <row r="14" spans="1:103" ht="15.4" customHeight="1" x14ac:dyDescent="0.2">
      <c r="A14" s="163">
        <v>9</v>
      </c>
      <c r="B14" s="245">
        <v>11.4</v>
      </c>
      <c r="C14" s="245">
        <v>-1.1000000000000001</v>
      </c>
      <c r="D14" s="245">
        <v>-0.8</v>
      </c>
      <c r="E14" s="245">
        <v>-0.7</v>
      </c>
      <c r="F14" s="245">
        <v>2.1</v>
      </c>
      <c r="G14" s="244">
        <v>10.6</v>
      </c>
      <c r="H14" s="167">
        <v>5.65</v>
      </c>
      <c r="I14" s="247"/>
      <c r="J14" s="243">
        <v>100</v>
      </c>
      <c r="K14" s="242">
        <v>100</v>
      </c>
      <c r="L14" s="241">
        <v>60</v>
      </c>
      <c r="M14" s="240"/>
      <c r="N14" s="239"/>
      <c r="O14" s="163">
        <v>9</v>
      </c>
      <c r="P14" s="11">
        <v>-1.9720238095238098</v>
      </c>
      <c r="Q14" s="11">
        <v>8.4</v>
      </c>
      <c r="R14" s="156">
        <v>2007</v>
      </c>
      <c r="S14" s="11">
        <v>-20.2</v>
      </c>
      <c r="T14" s="156">
        <v>1985</v>
      </c>
      <c r="U14" s="103">
        <f>+H14</f>
        <v>5.65</v>
      </c>
      <c r="V14" s="176">
        <v>1.0619047619047617</v>
      </c>
      <c r="W14" s="176">
        <v>9.8000000000000007</v>
      </c>
      <c r="X14" s="175">
        <v>2011</v>
      </c>
      <c r="Y14" s="176">
        <v>-13.8</v>
      </c>
      <c r="Z14" s="175">
        <v>1985</v>
      </c>
      <c r="AA14" s="103">
        <f>+B14</f>
        <v>11.4</v>
      </c>
      <c r="AB14" s="158">
        <v>9</v>
      </c>
      <c r="AC14" s="157">
        <v>-5.8190476190476188</v>
      </c>
      <c r="AD14" s="11">
        <v>6.8</v>
      </c>
      <c r="AE14" s="156" t="s">
        <v>151</v>
      </c>
      <c r="AF14" s="11">
        <v>-27</v>
      </c>
      <c r="AG14" s="156" t="s">
        <v>100</v>
      </c>
      <c r="AH14" s="103">
        <f>VALUE(C14)</f>
        <v>-1.1000000000000001</v>
      </c>
      <c r="AI14" s="158">
        <v>9</v>
      </c>
      <c r="AJ14" s="157">
        <v>-7.4761904761904745</v>
      </c>
      <c r="AK14" s="11">
        <v>6.1</v>
      </c>
      <c r="AL14" s="156" t="s">
        <v>151</v>
      </c>
      <c r="AM14" s="11">
        <v>-33.299999999999997</v>
      </c>
      <c r="AN14" s="156" t="s">
        <v>100</v>
      </c>
      <c r="AO14" s="103">
        <f>VALUE(D14)</f>
        <v>-0.8</v>
      </c>
      <c r="AP14" s="155">
        <v>1.1324999999999998</v>
      </c>
      <c r="AQ14" s="154">
        <v>8</v>
      </c>
      <c r="AR14" s="153">
        <v>2010</v>
      </c>
      <c r="AS14" s="246">
        <f>VALUE(I14)</f>
        <v>0</v>
      </c>
      <c r="AT14" s="5">
        <f>+AA14-AH14</f>
        <v>12.5</v>
      </c>
      <c r="AU14" s="5"/>
      <c r="AV14" s="84"/>
      <c r="AW14" s="238">
        <v>9</v>
      </c>
      <c r="AX14" s="227">
        <v>0</v>
      </c>
      <c r="AY14" s="227">
        <v>0</v>
      </c>
      <c r="AZ14" s="227">
        <v>16</v>
      </c>
      <c r="BA14" s="227">
        <v>2</v>
      </c>
      <c r="BB14" s="227">
        <v>16</v>
      </c>
      <c r="BC14" s="226">
        <v>7</v>
      </c>
      <c r="BD14" s="227">
        <v>10</v>
      </c>
      <c r="BE14" s="227">
        <v>4</v>
      </c>
      <c r="BF14" s="226">
        <v>10</v>
      </c>
      <c r="BG14" s="227">
        <v>4</v>
      </c>
      <c r="BH14" s="227">
        <v>1</v>
      </c>
      <c r="BI14" s="226">
        <v>2</v>
      </c>
      <c r="BJ14" s="227">
        <v>2</v>
      </c>
      <c r="BK14" s="227">
        <v>1</v>
      </c>
      <c r="BL14" s="226">
        <v>1</v>
      </c>
      <c r="BM14" s="237"/>
      <c r="BN14" s="236" t="s">
        <v>127</v>
      </c>
      <c r="BO14" s="295">
        <v>25</v>
      </c>
      <c r="BP14" s="294"/>
      <c r="BQ14" s="294"/>
      <c r="BR14" s="294"/>
      <c r="BS14" s="293"/>
      <c r="BT14"/>
      <c r="BU14"/>
      <c r="BW14" s="171">
        <v>1986</v>
      </c>
      <c r="BX14" s="170">
        <v>-1.4032258064516128</v>
      </c>
      <c r="BY14" s="169">
        <v>11</v>
      </c>
      <c r="BZ14" s="20">
        <v>1999</v>
      </c>
      <c r="CA14" s="297">
        <v>0.5749999999999994</v>
      </c>
      <c r="CC14" s="171">
        <v>1986</v>
      </c>
      <c r="CD14" s="170">
        <v>1.2290322580645159</v>
      </c>
      <c r="CE14" s="169">
        <v>11</v>
      </c>
      <c r="CF14" s="20">
        <v>1999</v>
      </c>
      <c r="CG14" s="297">
        <v>3.5935483870967744</v>
      </c>
      <c r="CI14" s="171">
        <v>1986</v>
      </c>
      <c r="CJ14" s="170">
        <v>-4.6677419354838712</v>
      </c>
      <c r="CK14" s="169">
        <v>11</v>
      </c>
      <c r="CL14" s="20">
        <v>1978</v>
      </c>
      <c r="CM14" s="297">
        <v>-2.8516129032258055</v>
      </c>
      <c r="CO14" s="171">
        <v>1986</v>
      </c>
      <c r="CP14" s="170">
        <v>-6.3677419354838714</v>
      </c>
      <c r="CQ14" s="169">
        <v>11</v>
      </c>
      <c r="CR14" s="20">
        <v>2012</v>
      </c>
      <c r="CS14" s="297">
        <v>-3.1064516129032258</v>
      </c>
      <c r="CU14" s="171">
        <v>1986</v>
      </c>
      <c r="CV14" s="170">
        <v>33.800000000000004</v>
      </c>
      <c r="CW14" s="169">
        <v>11</v>
      </c>
      <c r="CX14" s="20">
        <v>2005</v>
      </c>
      <c r="CY14" s="297">
        <v>53.2</v>
      </c>
    </row>
    <row r="15" spans="1:103" ht="15.4" customHeight="1" thickBot="1" x14ac:dyDescent="0.25">
      <c r="A15" s="86">
        <v>10</v>
      </c>
      <c r="B15" s="235">
        <v>10.8</v>
      </c>
      <c r="C15" s="235">
        <v>4.3</v>
      </c>
      <c r="D15" s="235">
        <v>4.7</v>
      </c>
      <c r="E15" s="235">
        <v>6.1</v>
      </c>
      <c r="F15" s="235">
        <v>5.5</v>
      </c>
      <c r="G15" s="234">
        <v>4.3</v>
      </c>
      <c r="H15" s="198">
        <v>5.05</v>
      </c>
      <c r="I15" s="282">
        <v>15.2</v>
      </c>
      <c r="J15" s="233">
        <v>81</v>
      </c>
      <c r="K15" s="232">
        <v>96</v>
      </c>
      <c r="L15" s="231">
        <v>99</v>
      </c>
      <c r="M15" s="230"/>
      <c r="N15" s="281"/>
      <c r="O15" s="86">
        <v>10</v>
      </c>
      <c r="P15" s="26">
        <v>-1.0767857142857142</v>
      </c>
      <c r="Q15" s="26">
        <v>10.574999999999999</v>
      </c>
      <c r="R15" s="193">
        <v>2007</v>
      </c>
      <c r="S15" s="26">
        <v>-17.399999999999999</v>
      </c>
      <c r="T15" s="193">
        <v>1985</v>
      </c>
      <c r="U15" s="103">
        <f>+H15</f>
        <v>5.05</v>
      </c>
      <c r="V15" s="161">
        <v>1.5999999999999996</v>
      </c>
      <c r="W15" s="161">
        <v>13.2</v>
      </c>
      <c r="X15" s="160">
        <v>2007</v>
      </c>
      <c r="Y15" s="161">
        <v>-11.5</v>
      </c>
      <c r="Z15" s="160">
        <v>1985</v>
      </c>
      <c r="AA15" s="159">
        <f>+B15</f>
        <v>10.8</v>
      </c>
      <c r="AB15" s="195">
        <v>10</v>
      </c>
      <c r="AC15" s="194">
        <v>-4.3166666666666673</v>
      </c>
      <c r="AD15" s="26">
        <v>9.1</v>
      </c>
      <c r="AE15" s="193" t="s">
        <v>94</v>
      </c>
      <c r="AF15" s="26">
        <v>-23.7</v>
      </c>
      <c r="AG15" s="193" t="s">
        <v>100</v>
      </c>
      <c r="AH15" s="159">
        <f>VALUE(C15)</f>
        <v>4.3</v>
      </c>
      <c r="AI15" s="195">
        <v>10</v>
      </c>
      <c r="AJ15" s="194">
        <v>-5.2476190476190485</v>
      </c>
      <c r="AK15" s="26">
        <v>7.7</v>
      </c>
      <c r="AL15" s="193" t="s">
        <v>94</v>
      </c>
      <c r="AM15" s="26">
        <v>-26</v>
      </c>
      <c r="AN15" s="193" t="s">
        <v>100</v>
      </c>
      <c r="AO15" s="103">
        <f>VALUE(D15)</f>
        <v>4.7</v>
      </c>
      <c r="AP15" s="192">
        <v>0.97</v>
      </c>
      <c r="AQ15" s="191">
        <v>4.5999999999999996</v>
      </c>
      <c r="AR15" s="190">
        <v>2012</v>
      </c>
      <c r="AS15" s="280">
        <f>VALUE(I15)</f>
        <v>15.2</v>
      </c>
      <c r="AT15" s="5">
        <f>+AA15-AH15</f>
        <v>6.5000000000000009</v>
      </c>
      <c r="AU15" s="5"/>
      <c r="AV15" s="84"/>
      <c r="AW15" s="228">
        <v>10</v>
      </c>
      <c r="AX15" s="274">
        <v>0</v>
      </c>
      <c r="AY15" s="274">
        <v>0</v>
      </c>
      <c r="AZ15" s="274">
        <v>0</v>
      </c>
      <c r="BA15" s="274">
        <v>0</v>
      </c>
      <c r="BB15" s="274">
        <v>22</v>
      </c>
      <c r="BC15" s="273">
        <v>2</v>
      </c>
      <c r="BD15" s="274">
        <v>10</v>
      </c>
      <c r="BE15" s="274">
        <v>10</v>
      </c>
      <c r="BF15" s="273">
        <v>10</v>
      </c>
      <c r="BG15" s="274">
        <v>2</v>
      </c>
      <c r="BH15" s="274">
        <v>6</v>
      </c>
      <c r="BI15" s="273">
        <v>6</v>
      </c>
      <c r="BJ15" s="274">
        <v>1</v>
      </c>
      <c r="BK15" s="274">
        <v>2</v>
      </c>
      <c r="BL15" s="273">
        <v>2</v>
      </c>
      <c r="BM15" s="225"/>
      <c r="BN15" s="224" t="s">
        <v>146</v>
      </c>
      <c r="BO15" s="292"/>
      <c r="BP15" s="291"/>
      <c r="BQ15" s="291"/>
      <c r="BR15" s="291"/>
      <c r="BS15" s="302"/>
      <c r="BT15"/>
      <c r="BU15"/>
      <c r="BW15" s="171">
        <v>1987</v>
      </c>
      <c r="BX15" s="170">
        <v>-9.8451612903225811</v>
      </c>
      <c r="BY15" s="169">
        <v>12</v>
      </c>
      <c r="BZ15" s="20">
        <v>1990</v>
      </c>
      <c r="CA15" s="222">
        <v>0.39032258064516123</v>
      </c>
      <c r="CC15" s="171">
        <v>1987</v>
      </c>
      <c r="CD15" s="170">
        <v>-5.4387096774193537</v>
      </c>
      <c r="CE15" s="169">
        <v>12</v>
      </c>
      <c r="CF15" s="20">
        <v>1990</v>
      </c>
      <c r="CG15" s="222">
        <v>3.0903225806451613</v>
      </c>
      <c r="CI15" s="171">
        <v>1987</v>
      </c>
      <c r="CJ15" s="170">
        <v>-14.82258064516129</v>
      </c>
      <c r="CK15" s="169">
        <v>12</v>
      </c>
      <c r="CL15" s="20">
        <v>2012</v>
      </c>
      <c r="CM15" s="297">
        <v>-2.9129032258064513</v>
      </c>
      <c r="CO15" s="171">
        <v>1987</v>
      </c>
      <c r="CP15" s="170">
        <v>-15.383870967741936</v>
      </c>
      <c r="CQ15" s="169">
        <v>12</v>
      </c>
      <c r="CR15" s="20">
        <v>1999</v>
      </c>
      <c r="CS15" s="297">
        <v>-3.2903225806451619</v>
      </c>
      <c r="CU15" s="171">
        <v>1987</v>
      </c>
      <c r="CV15" s="170">
        <v>55.599999999999994</v>
      </c>
      <c r="CW15" s="169">
        <v>12</v>
      </c>
      <c r="CX15" s="20">
        <v>2013</v>
      </c>
      <c r="CY15" s="297">
        <v>53.199999999999996</v>
      </c>
    </row>
    <row r="16" spans="1:103" ht="15.4" customHeight="1" thickBot="1" x14ac:dyDescent="0.25">
      <c r="A16" s="163">
        <v>11</v>
      </c>
      <c r="B16" s="245">
        <v>4.5</v>
      </c>
      <c r="C16" s="245">
        <v>2.9</v>
      </c>
      <c r="D16" s="245">
        <v>2.2999999999999998</v>
      </c>
      <c r="E16" s="245">
        <v>3.4</v>
      </c>
      <c r="F16" s="245">
        <v>4.4000000000000004</v>
      </c>
      <c r="G16" s="244">
        <v>4</v>
      </c>
      <c r="H16" s="167">
        <v>3.95</v>
      </c>
      <c r="I16" s="247">
        <v>0.9</v>
      </c>
      <c r="J16" s="243">
        <v>100</v>
      </c>
      <c r="K16" s="242">
        <v>95</v>
      </c>
      <c r="L16" s="241">
        <v>99</v>
      </c>
      <c r="M16" s="240"/>
      <c r="N16" s="239"/>
      <c r="O16" s="163">
        <v>11</v>
      </c>
      <c r="P16" s="11">
        <v>-0.58511904761904787</v>
      </c>
      <c r="Q16" s="11">
        <v>8</v>
      </c>
      <c r="R16" s="156">
        <v>2007</v>
      </c>
      <c r="S16" s="11">
        <v>-20.100000000000001</v>
      </c>
      <c r="T16" s="156">
        <v>1987</v>
      </c>
      <c r="U16" s="184">
        <f>+H16</f>
        <v>3.95</v>
      </c>
      <c r="V16" s="259">
        <v>2.3071428571428578</v>
      </c>
      <c r="W16" s="259">
        <v>11.7</v>
      </c>
      <c r="X16" s="258">
        <v>2015</v>
      </c>
      <c r="Y16" s="259">
        <v>-12.5</v>
      </c>
      <c r="Z16" s="258">
        <v>1987</v>
      </c>
      <c r="AA16" s="103">
        <f>+B16</f>
        <v>4.5</v>
      </c>
      <c r="AB16" s="158">
        <v>11</v>
      </c>
      <c r="AC16" s="157">
        <v>-4.757142857142858</v>
      </c>
      <c r="AD16" s="11">
        <v>6.2</v>
      </c>
      <c r="AE16" s="156" t="s">
        <v>149</v>
      </c>
      <c r="AF16" s="11">
        <v>-21</v>
      </c>
      <c r="AG16" s="156" t="s">
        <v>93</v>
      </c>
      <c r="AH16" s="103">
        <f>VALUE(C16)</f>
        <v>2.9</v>
      </c>
      <c r="AI16" s="158">
        <v>11</v>
      </c>
      <c r="AJ16" s="157">
        <v>-5.7500000000000018</v>
      </c>
      <c r="AK16" s="11">
        <v>5.8</v>
      </c>
      <c r="AL16" s="156" t="s">
        <v>94</v>
      </c>
      <c r="AM16" s="11">
        <v>-21</v>
      </c>
      <c r="AN16" s="156" t="s">
        <v>93</v>
      </c>
      <c r="AO16" s="184">
        <f>VALUE(D16)</f>
        <v>2.2999999999999998</v>
      </c>
      <c r="AP16" s="155">
        <v>0.98250000000000015</v>
      </c>
      <c r="AQ16" s="154">
        <v>9.6999999999999993</v>
      </c>
      <c r="AR16" s="153">
        <v>1987</v>
      </c>
      <c r="AS16" s="246">
        <f>VALUE(I16)</f>
        <v>0.9</v>
      </c>
      <c r="AT16" s="5">
        <f>+AA16-AH16</f>
        <v>1.6</v>
      </c>
      <c r="AU16" s="5"/>
      <c r="AV16" s="84"/>
      <c r="AW16" s="238">
        <v>11</v>
      </c>
      <c r="AX16" s="227">
        <v>0</v>
      </c>
      <c r="AY16" s="227">
        <v>0</v>
      </c>
      <c r="AZ16" s="227">
        <v>34</v>
      </c>
      <c r="BA16" s="227">
        <v>2</v>
      </c>
      <c r="BB16" s="227">
        <v>0</v>
      </c>
      <c r="BC16" s="226">
        <v>0</v>
      </c>
      <c r="BD16" s="227">
        <v>10</v>
      </c>
      <c r="BE16" s="227">
        <v>10</v>
      </c>
      <c r="BF16" s="226">
        <v>10</v>
      </c>
      <c r="BG16" s="227">
        <v>2</v>
      </c>
      <c r="BH16" s="227">
        <v>6</v>
      </c>
      <c r="BI16" s="226">
        <v>2</v>
      </c>
      <c r="BJ16" s="227">
        <v>2</v>
      </c>
      <c r="BK16" s="227">
        <v>2</v>
      </c>
      <c r="BL16" s="226">
        <v>2</v>
      </c>
      <c r="BM16" s="256" t="s">
        <v>150</v>
      </c>
      <c r="BN16" s="250" t="s">
        <v>134</v>
      </c>
      <c r="BO16" s="249">
        <v>-5.8</v>
      </c>
      <c r="BP16" s="249">
        <f>VALUE(D46)</f>
        <v>-1.5193548387096769</v>
      </c>
      <c r="BQ16" s="249">
        <f>+BP16-BO16</f>
        <v>4.2806451612903231</v>
      </c>
      <c r="BR16" s="301">
        <f>MAX(D6:D36)</f>
        <v>5.3</v>
      </c>
      <c r="BS16" s="300">
        <f>MIN(D6:D36)</f>
        <v>-10.4</v>
      </c>
      <c r="BT16" s="299">
        <f>VALUE(AO52)</f>
        <v>3</v>
      </c>
      <c r="BU16" s="298">
        <f>VALUE(AO53)</f>
        <v>2</v>
      </c>
      <c r="BW16" s="171">
        <v>1988</v>
      </c>
      <c r="BX16" s="170">
        <v>2.7322580645161287</v>
      </c>
      <c r="BY16" s="169">
        <v>13</v>
      </c>
      <c r="BZ16" s="20">
        <v>1984</v>
      </c>
      <c r="CA16" s="222">
        <v>-0.13870967741935478</v>
      </c>
      <c r="CC16" s="171">
        <v>1988</v>
      </c>
      <c r="CD16" s="170">
        <v>5.5129032258064514</v>
      </c>
      <c r="CE16" s="169">
        <v>13</v>
      </c>
      <c r="CF16" s="20">
        <v>1977</v>
      </c>
      <c r="CG16" s="222">
        <v>2.7709677419354835</v>
      </c>
      <c r="CI16" s="171">
        <v>1988</v>
      </c>
      <c r="CJ16" s="170">
        <v>-0.16451612903225818</v>
      </c>
      <c r="CK16" s="169">
        <v>13</v>
      </c>
      <c r="CL16" s="20">
        <v>1994</v>
      </c>
      <c r="CM16" s="18">
        <v>-2.9870967741935477</v>
      </c>
      <c r="CO16" s="171">
        <v>1988</v>
      </c>
      <c r="CP16" s="170">
        <v>-2.3193548387096778</v>
      </c>
      <c r="CQ16" s="169">
        <v>13</v>
      </c>
      <c r="CR16" s="20">
        <v>1977</v>
      </c>
      <c r="CS16" s="222">
        <v>-3.967741935483871</v>
      </c>
      <c r="CU16" s="171">
        <v>1988</v>
      </c>
      <c r="CV16" s="170">
        <v>30</v>
      </c>
      <c r="CW16" s="169">
        <v>13</v>
      </c>
      <c r="CX16" s="20">
        <v>2003</v>
      </c>
      <c r="CY16" s="297">
        <v>50.499999999999993</v>
      </c>
    </row>
    <row r="17" spans="1:103" ht="15.4" customHeight="1" thickBot="1" x14ac:dyDescent="0.25">
      <c r="A17" s="163">
        <v>12</v>
      </c>
      <c r="B17" s="245">
        <v>4.2</v>
      </c>
      <c r="C17" s="245">
        <v>-0.3</v>
      </c>
      <c r="D17" s="245">
        <v>0.8</v>
      </c>
      <c r="E17" s="245">
        <v>1</v>
      </c>
      <c r="F17" s="245">
        <v>1.6</v>
      </c>
      <c r="G17" s="244">
        <v>-0.1</v>
      </c>
      <c r="H17" s="167">
        <v>0.6</v>
      </c>
      <c r="I17" s="247"/>
      <c r="J17" s="243">
        <v>100</v>
      </c>
      <c r="K17" s="242">
        <v>100</v>
      </c>
      <c r="L17" s="241">
        <v>98</v>
      </c>
      <c r="M17" s="240"/>
      <c r="N17" s="239"/>
      <c r="O17" s="163">
        <v>12</v>
      </c>
      <c r="P17" s="11">
        <v>-0.97916666666666663</v>
      </c>
      <c r="Q17" s="11">
        <v>8.8249999999999993</v>
      </c>
      <c r="R17" s="156">
        <v>1996</v>
      </c>
      <c r="S17" s="11">
        <v>-21.1</v>
      </c>
      <c r="T17" s="156">
        <v>1987</v>
      </c>
      <c r="U17" s="103">
        <f>+H17</f>
        <v>0.6</v>
      </c>
      <c r="V17" s="176">
        <v>2.0238095238095242</v>
      </c>
      <c r="W17" s="176">
        <v>12.4</v>
      </c>
      <c r="X17" s="175">
        <v>1993</v>
      </c>
      <c r="Y17" s="176">
        <v>-19</v>
      </c>
      <c r="Z17" s="175">
        <v>1987</v>
      </c>
      <c r="AA17" s="103">
        <f>+B17</f>
        <v>4.2</v>
      </c>
      <c r="AB17" s="158">
        <v>12</v>
      </c>
      <c r="AC17" s="157">
        <v>-4.5261904761904761</v>
      </c>
      <c r="AD17" s="11">
        <v>7.2</v>
      </c>
      <c r="AE17" s="156" t="s">
        <v>149</v>
      </c>
      <c r="AF17" s="11">
        <v>-27.2</v>
      </c>
      <c r="AG17" s="156" t="s">
        <v>93</v>
      </c>
      <c r="AH17" s="103">
        <f>VALUE(C17)</f>
        <v>-0.3</v>
      </c>
      <c r="AI17" s="158">
        <v>12</v>
      </c>
      <c r="AJ17" s="157">
        <v>-5.5857142857142854</v>
      </c>
      <c r="AK17" s="11">
        <v>4.5999999999999996</v>
      </c>
      <c r="AL17" s="156" t="s">
        <v>94</v>
      </c>
      <c r="AM17" s="11">
        <v>-27.2</v>
      </c>
      <c r="AN17" s="156" t="s">
        <v>93</v>
      </c>
      <c r="AO17" s="103">
        <f>VALUE(D17)</f>
        <v>0.8</v>
      </c>
      <c r="AP17" s="155">
        <v>0.69499999999999995</v>
      </c>
      <c r="AQ17" s="154">
        <v>4.4000000000000004</v>
      </c>
      <c r="AR17" s="153">
        <v>2011</v>
      </c>
      <c r="AS17" s="246">
        <f>VALUE(I17)</f>
        <v>0</v>
      </c>
      <c r="AT17" s="5">
        <f>+AA17-AH17</f>
        <v>4.5</v>
      </c>
      <c r="AU17" s="5"/>
      <c r="AV17" s="84"/>
      <c r="AW17" s="238">
        <v>12</v>
      </c>
      <c r="AX17" s="227">
        <v>2</v>
      </c>
      <c r="AY17" s="227">
        <v>2</v>
      </c>
      <c r="AZ17" s="227">
        <v>36</v>
      </c>
      <c r="BA17" s="227">
        <v>4</v>
      </c>
      <c r="BB17" s="227">
        <v>36</v>
      </c>
      <c r="BC17" s="226">
        <v>4</v>
      </c>
      <c r="BD17" s="227">
        <v>10</v>
      </c>
      <c r="BE17" s="227">
        <v>10</v>
      </c>
      <c r="BF17" s="226">
        <v>10</v>
      </c>
      <c r="BG17" s="227">
        <v>4</v>
      </c>
      <c r="BH17" s="227">
        <v>4</v>
      </c>
      <c r="BI17" s="226">
        <v>4</v>
      </c>
      <c r="BJ17" s="227">
        <v>2</v>
      </c>
      <c r="BK17" s="227">
        <v>2</v>
      </c>
      <c r="BL17" s="226">
        <v>2</v>
      </c>
      <c r="BM17" s="237" t="s">
        <v>148</v>
      </c>
      <c r="BN17" s="236" t="s">
        <v>133</v>
      </c>
      <c r="BO17" s="68">
        <v>-5.8</v>
      </c>
      <c r="BP17" s="68">
        <f>VALUE(BP16)</f>
        <v>-1.5193548387096769</v>
      </c>
      <c r="BQ17" s="296">
        <f>+BP17-BO17</f>
        <v>4.2806451612903231</v>
      </c>
      <c r="BR17" s="55">
        <f>VALUE(BR16)</f>
        <v>5.3</v>
      </c>
      <c r="BS17" s="223">
        <f>VALUE(BS16)</f>
        <v>-10.4</v>
      </c>
      <c r="BW17" s="171">
        <v>1989</v>
      </c>
      <c r="BX17" s="170">
        <v>-0.30000000000000016</v>
      </c>
      <c r="BY17" s="169">
        <v>14</v>
      </c>
      <c r="BZ17" s="20">
        <v>1989</v>
      </c>
      <c r="CA17" s="222">
        <v>-0.30000000000000016</v>
      </c>
      <c r="CC17" s="171">
        <v>1989</v>
      </c>
      <c r="CD17" s="170">
        <v>2.6838709677419357</v>
      </c>
      <c r="CE17" s="169">
        <v>14</v>
      </c>
      <c r="CF17" s="20">
        <v>1991</v>
      </c>
      <c r="CG17" s="222">
        <v>2.7032258064516124</v>
      </c>
      <c r="CI17" s="171">
        <v>1989</v>
      </c>
      <c r="CJ17" s="170">
        <v>-3.4032258064516134</v>
      </c>
      <c r="CK17" s="169">
        <v>14</v>
      </c>
      <c r="CL17" s="20">
        <v>1984</v>
      </c>
      <c r="CM17" s="18">
        <v>-3.0935483870967744</v>
      </c>
      <c r="CO17" s="171">
        <v>1989</v>
      </c>
      <c r="CP17" s="170">
        <v>-5.2290322580645157</v>
      </c>
      <c r="CQ17" s="169">
        <v>14</v>
      </c>
      <c r="CR17" s="20">
        <v>1990</v>
      </c>
      <c r="CS17" s="222">
        <v>-4.0258064516129028</v>
      </c>
      <c r="CU17" s="171">
        <v>1989</v>
      </c>
      <c r="CV17" s="170">
        <v>15.8</v>
      </c>
      <c r="CW17" s="169">
        <v>14</v>
      </c>
      <c r="CX17" s="20">
        <v>1984</v>
      </c>
      <c r="CY17" s="222">
        <v>46.499999999999993</v>
      </c>
    </row>
    <row r="18" spans="1:103" ht="15.4" customHeight="1" x14ac:dyDescent="0.2">
      <c r="A18" s="163">
        <v>13</v>
      </c>
      <c r="B18" s="245">
        <v>0.3</v>
      </c>
      <c r="C18" s="245">
        <v>-2.1</v>
      </c>
      <c r="D18" s="245">
        <v>-1.4</v>
      </c>
      <c r="E18" s="245">
        <v>-0.9</v>
      </c>
      <c r="F18" s="245">
        <v>-0.2</v>
      </c>
      <c r="G18" s="244">
        <v>-2</v>
      </c>
      <c r="H18" s="167">
        <v>-1.2749999999999999</v>
      </c>
      <c r="I18" s="247"/>
      <c r="J18" s="243">
        <v>88</v>
      </c>
      <c r="K18" s="242">
        <v>84</v>
      </c>
      <c r="L18" s="241">
        <v>89</v>
      </c>
      <c r="M18" s="240"/>
      <c r="N18" s="239"/>
      <c r="O18" s="163">
        <v>13</v>
      </c>
      <c r="P18" s="11">
        <v>-1.2023809523809528</v>
      </c>
      <c r="Q18" s="11">
        <v>9.5250000000000004</v>
      </c>
      <c r="R18" s="156">
        <v>2007</v>
      </c>
      <c r="S18" s="11">
        <v>-17.2</v>
      </c>
      <c r="T18" s="156">
        <v>1987</v>
      </c>
      <c r="U18" s="103">
        <f>+H18</f>
        <v>-1.2749999999999999</v>
      </c>
      <c r="V18" s="176">
        <v>1.9428571428571435</v>
      </c>
      <c r="W18" s="176">
        <v>11.1</v>
      </c>
      <c r="X18" s="175">
        <v>2007</v>
      </c>
      <c r="Y18" s="176">
        <v>-13</v>
      </c>
      <c r="Z18" s="175">
        <v>1987</v>
      </c>
      <c r="AA18" s="103">
        <f>+B18</f>
        <v>0.3</v>
      </c>
      <c r="AB18" s="158">
        <v>13</v>
      </c>
      <c r="AC18" s="157">
        <v>-4.0666666666666664</v>
      </c>
      <c r="AD18" s="11">
        <v>5.4</v>
      </c>
      <c r="AE18" s="156" t="s">
        <v>94</v>
      </c>
      <c r="AF18" s="11">
        <v>-21.2</v>
      </c>
      <c r="AG18" s="156" t="s">
        <v>93</v>
      </c>
      <c r="AH18" s="103">
        <f>VALUE(C18)</f>
        <v>-2.1</v>
      </c>
      <c r="AI18" s="158">
        <v>13</v>
      </c>
      <c r="AJ18" s="157">
        <v>-4.4285714285714288</v>
      </c>
      <c r="AK18" s="11">
        <v>4.4000000000000004</v>
      </c>
      <c r="AL18" s="156" t="s">
        <v>94</v>
      </c>
      <c r="AM18" s="11">
        <v>-21.2</v>
      </c>
      <c r="AN18" s="156" t="s">
        <v>93</v>
      </c>
      <c r="AO18" s="103">
        <f>VALUE(D18)</f>
        <v>-1.4</v>
      </c>
      <c r="AP18" s="155">
        <v>1.5125</v>
      </c>
      <c r="AQ18" s="154">
        <v>18.5</v>
      </c>
      <c r="AR18" s="153">
        <v>1977</v>
      </c>
      <c r="AS18" s="246">
        <f>VALUE(I18)</f>
        <v>0</v>
      </c>
      <c r="AT18" s="5">
        <f>+AA18-AH18</f>
        <v>2.4</v>
      </c>
      <c r="AU18" s="5"/>
      <c r="AV18" s="84"/>
      <c r="AW18" s="238">
        <v>13</v>
      </c>
      <c r="AX18" s="227">
        <v>2</v>
      </c>
      <c r="AY18" s="227">
        <v>2</v>
      </c>
      <c r="AZ18" s="227">
        <v>36</v>
      </c>
      <c r="BA18" s="227">
        <v>2</v>
      </c>
      <c r="BB18" s="227">
        <v>2</v>
      </c>
      <c r="BC18" s="226">
        <v>2</v>
      </c>
      <c r="BD18" s="227">
        <v>10</v>
      </c>
      <c r="BE18" s="227">
        <v>10</v>
      </c>
      <c r="BF18" s="226">
        <v>10</v>
      </c>
      <c r="BG18" s="227">
        <v>4</v>
      </c>
      <c r="BH18" s="227">
        <v>2</v>
      </c>
      <c r="BI18" s="226">
        <v>2</v>
      </c>
      <c r="BJ18" s="227">
        <v>2</v>
      </c>
      <c r="BK18" s="227">
        <v>2</v>
      </c>
      <c r="BL18" s="226">
        <v>2</v>
      </c>
      <c r="BM18" s="237"/>
      <c r="BN18" s="236" t="s">
        <v>127</v>
      </c>
      <c r="BO18" s="295">
        <v>5</v>
      </c>
      <c r="BP18" s="294"/>
      <c r="BQ18" s="294"/>
      <c r="BR18" s="294"/>
      <c r="BS18" s="293"/>
      <c r="BW18" s="171">
        <v>1990</v>
      </c>
      <c r="BX18" s="170">
        <v>0.39032258064516123</v>
      </c>
      <c r="BY18" s="169">
        <v>15</v>
      </c>
      <c r="BZ18" s="20">
        <v>1977</v>
      </c>
      <c r="CA18" s="222">
        <v>-0.31935483870967746</v>
      </c>
      <c r="CC18" s="171">
        <v>1990</v>
      </c>
      <c r="CD18" s="170">
        <v>3.0903225806451613</v>
      </c>
      <c r="CE18" s="169">
        <v>15</v>
      </c>
      <c r="CF18" s="20">
        <v>1989</v>
      </c>
      <c r="CG18" s="222">
        <v>2.6838709677419357</v>
      </c>
      <c r="CI18" s="171">
        <v>1990</v>
      </c>
      <c r="CJ18" s="170">
        <v>-2.5935483870967739</v>
      </c>
      <c r="CK18" s="169">
        <v>15</v>
      </c>
      <c r="CL18" s="20">
        <v>1989</v>
      </c>
      <c r="CM18" s="18">
        <v>-3.4032258064516134</v>
      </c>
      <c r="CO18" s="171">
        <v>1990</v>
      </c>
      <c r="CP18" s="170">
        <v>-4.0258064516129028</v>
      </c>
      <c r="CQ18" s="169">
        <v>15</v>
      </c>
      <c r="CR18" s="20">
        <v>1984</v>
      </c>
      <c r="CS18" s="222">
        <v>-4.2387096774193553</v>
      </c>
      <c r="CU18" s="171">
        <v>1990</v>
      </c>
      <c r="CV18" s="170">
        <v>12.4</v>
      </c>
      <c r="CW18" s="169">
        <v>15</v>
      </c>
      <c r="CX18" s="20">
        <v>2008</v>
      </c>
      <c r="CY18" s="222">
        <v>44.1</v>
      </c>
    </row>
    <row r="19" spans="1:103" ht="15.4" customHeight="1" thickBot="1" x14ac:dyDescent="0.25">
      <c r="A19" s="163">
        <v>14</v>
      </c>
      <c r="B19" s="245">
        <v>-1.6</v>
      </c>
      <c r="C19" s="245">
        <v>-5.2</v>
      </c>
      <c r="D19" s="245">
        <v>-8.6999999999999993</v>
      </c>
      <c r="E19" s="245">
        <v>-3.5</v>
      </c>
      <c r="F19" s="245">
        <v>-3.6</v>
      </c>
      <c r="G19" s="244">
        <v>-5</v>
      </c>
      <c r="H19" s="167">
        <v>-4.2750000000000004</v>
      </c>
      <c r="I19" s="247"/>
      <c r="J19" s="243">
        <v>89</v>
      </c>
      <c r="K19" s="242">
        <v>92</v>
      </c>
      <c r="L19" s="241">
        <v>95</v>
      </c>
      <c r="M19" s="240"/>
      <c r="N19" s="239"/>
      <c r="O19" s="163">
        <v>14</v>
      </c>
      <c r="P19" s="11">
        <v>-1.543452380952381</v>
      </c>
      <c r="Q19" s="11">
        <v>8.125</v>
      </c>
      <c r="R19" s="156">
        <v>2011</v>
      </c>
      <c r="S19" s="11">
        <v>-21.7</v>
      </c>
      <c r="T19" s="156">
        <v>1987</v>
      </c>
      <c r="U19" s="103">
        <f>+H19</f>
        <v>-4.2750000000000004</v>
      </c>
      <c r="V19" s="176">
        <v>1.4523809523809521</v>
      </c>
      <c r="W19" s="176">
        <v>10.7</v>
      </c>
      <c r="X19" s="175">
        <v>1993</v>
      </c>
      <c r="Y19" s="176">
        <v>-11.8</v>
      </c>
      <c r="Z19" s="175">
        <v>1987</v>
      </c>
      <c r="AA19" s="103">
        <f>+B19</f>
        <v>-1.6</v>
      </c>
      <c r="AB19" s="158">
        <v>14</v>
      </c>
      <c r="AC19" s="157">
        <v>-5.7428571428571429</v>
      </c>
      <c r="AD19" s="11">
        <v>4.9000000000000004</v>
      </c>
      <c r="AE19" s="156" t="s">
        <v>147</v>
      </c>
      <c r="AF19" s="11">
        <v>-26.900000000000002</v>
      </c>
      <c r="AG19" s="156" t="s">
        <v>93</v>
      </c>
      <c r="AH19" s="103">
        <f>VALUE(C19)</f>
        <v>-5.2</v>
      </c>
      <c r="AI19" s="158">
        <v>14</v>
      </c>
      <c r="AJ19" s="157">
        <v>-6.5714285714285712</v>
      </c>
      <c r="AK19" s="11">
        <v>7.3</v>
      </c>
      <c r="AL19" s="156" t="s">
        <v>94</v>
      </c>
      <c r="AM19" s="11">
        <v>-29.7</v>
      </c>
      <c r="AN19" s="156" t="s">
        <v>93</v>
      </c>
      <c r="AO19" s="103">
        <f>VALUE(D19)</f>
        <v>-8.6999999999999993</v>
      </c>
      <c r="AP19" s="155">
        <v>1.1174999999999997</v>
      </c>
      <c r="AQ19" s="154">
        <v>4.5</v>
      </c>
      <c r="AR19" s="153">
        <v>1984</v>
      </c>
      <c r="AS19" s="246">
        <f>VALUE(I19)</f>
        <v>0</v>
      </c>
      <c r="AT19" s="5">
        <f>+AA19-AH19</f>
        <v>3.6</v>
      </c>
      <c r="AU19" s="5"/>
      <c r="AV19" s="84"/>
      <c r="AW19" s="238">
        <v>14</v>
      </c>
      <c r="AX19" s="227">
        <v>2</v>
      </c>
      <c r="AY19" s="227">
        <v>2</v>
      </c>
      <c r="AZ19" s="227">
        <v>2</v>
      </c>
      <c r="BA19" s="227">
        <v>2</v>
      </c>
      <c r="BB19" s="227">
        <v>13</v>
      </c>
      <c r="BC19" s="226">
        <v>2</v>
      </c>
      <c r="BD19" s="227">
        <v>10</v>
      </c>
      <c r="BE19" s="227">
        <v>10</v>
      </c>
      <c r="BF19" s="226">
        <v>7</v>
      </c>
      <c r="BG19" s="227">
        <v>2</v>
      </c>
      <c r="BH19" s="227">
        <v>2</v>
      </c>
      <c r="BI19" s="226">
        <v>1</v>
      </c>
      <c r="BJ19" s="227">
        <v>3</v>
      </c>
      <c r="BK19" s="227">
        <v>3</v>
      </c>
      <c r="BL19" s="226">
        <v>3</v>
      </c>
      <c r="BM19" s="225"/>
      <c r="BN19" s="224" t="s">
        <v>146</v>
      </c>
      <c r="BO19" s="292"/>
      <c r="BP19" s="291"/>
      <c r="BQ19" s="291"/>
      <c r="BR19" s="290"/>
      <c r="BS19" s="289"/>
      <c r="BW19" s="171">
        <v>1991</v>
      </c>
      <c r="BX19" s="170">
        <v>-0.38709677419354838</v>
      </c>
      <c r="BY19" s="169">
        <v>16</v>
      </c>
      <c r="BZ19" s="20">
        <v>2005</v>
      </c>
      <c r="CA19" s="222">
        <v>-0.35967741935483871</v>
      </c>
      <c r="CC19" s="171">
        <v>1991</v>
      </c>
      <c r="CD19" s="170">
        <v>2.7032258064516124</v>
      </c>
      <c r="CE19" s="169">
        <v>16</v>
      </c>
      <c r="CF19" s="20">
        <v>2005</v>
      </c>
      <c r="CG19" s="222">
        <v>2.6709677419354843</v>
      </c>
      <c r="CI19" s="171">
        <v>1991</v>
      </c>
      <c r="CJ19" s="170">
        <v>-3.4419354838709681</v>
      </c>
      <c r="CK19" s="169">
        <v>16</v>
      </c>
      <c r="CL19" s="20">
        <v>1991</v>
      </c>
      <c r="CM19" s="18">
        <v>-3.4419354838709681</v>
      </c>
      <c r="CO19" s="171">
        <v>1991</v>
      </c>
      <c r="CP19" s="170">
        <v>-5.0612903225806454</v>
      </c>
      <c r="CQ19" s="169">
        <v>16</v>
      </c>
      <c r="CR19" s="20">
        <v>2005</v>
      </c>
      <c r="CS19" s="222">
        <v>-4.6258064516129025</v>
      </c>
      <c r="CU19" s="171">
        <v>1991</v>
      </c>
      <c r="CV19" s="170">
        <v>12.500000000000002</v>
      </c>
      <c r="CW19" s="169">
        <v>16</v>
      </c>
      <c r="CX19" s="20">
        <v>2006</v>
      </c>
      <c r="CY19" s="222">
        <v>40.699999999999996</v>
      </c>
    </row>
    <row r="20" spans="1:103" ht="15.4" customHeight="1" thickBot="1" x14ac:dyDescent="0.25">
      <c r="A20" s="163">
        <v>15</v>
      </c>
      <c r="B20" s="245">
        <v>-0.6</v>
      </c>
      <c r="C20" s="245">
        <v>-7.9</v>
      </c>
      <c r="D20" s="245">
        <v>-10.4</v>
      </c>
      <c r="E20" s="245">
        <v>-6.9</v>
      </c>
      <c r="F20" s="245">
        <v>-1.1000000000000001</v>
      </c>
      <c r="G20" s="244">
        <v>-2.5</v>
      </c>
      <c r="H20" s="167">
        <v>-3.25</v>
      </c>
      <c r="I20" s="247"/>
      <c r="J20" s="243">
        <v>95</v>
      </c>
      <c r="K20" s="242">
        <v>68</v>
      </c>
      <c r="L20" s="241">
        <v>69</v>
      </c>
      <c r="M20" s="240"/>
      <c r="N20" s="239"/>
      <c r="O20" s="163">
        <v>15</v>
      </c>
      <c r="P20" s="26">
        <v>-1.5928571428571427</v>
      </c>
      <c r="Q20" s="26">
        <v>4.3</v>
      </c>
      <c r="R20" s="193">
        <v>1993</v>
      </c>
      <c r="S20" s="26">
        <v>-14.8</v>
      </c>
      <c r="T20" s="193">
        <v>1987</v>
      </c>
      <c r="U20" s="159">
        <f>+H20</f>
        <v>-3.25</v>
      </c>
      <c r="V20" s="161">
        <v>1.1928571428571428</v>
      </c>
      <c r="W20" s="161">
        <v>8</v>
      </c>
      <c r="X20" s="160">
        <v>2014</v>
      </c>
      <c r="Y20" s="161">
        <v>-12.8</v>
      </c>
      <c r="Z20" s="160">
        <v>1987</v>
      </c>
      <c r="AA20" s="103">
        <f>+B20</f>
        <v>-0.6</v>
      </c>
      <c r="AB20" s="195">
        <v>15</v>
      </c>
      <c r="AC20" s="194">
        <v>-4.8904761904761909</v>
      </c>
      <c r="AD20" s="26">
        <v>2.4</v>
      </c>
      <c r="AE20" s="193" t="s">
        <v>99</v>
      </c>
      <c r="AF20" s="26">
        <v>-21.5</v>
      </c>
      <c r="AG20" s="193" t="s">
        <v>93</v>
      </c>
      <c r="AH20" s="103">
        <f>VALUE(C20)</f>
        <v>-7.9</v>
      </c>
      <c r="AI20" s="195">
        <v>15</v>
      </c>
      <c r="AJ20" s="194">
        <v>-5.9261904761904773</v>
      </c>
      <c r="AK20" s="26">
        <v>1.8</v>
      </c>
      <c r="AL20" s="193" t="s">
        <v>109</v>
      </c>
      <c r="AM20" s="26">
        <v>-22.2</v>
      </c>
      <c r="AN20" s="193" t="s">
        <v>93</v>
      </c>
      <c r="AO20" s="159">
        <f>VALUE(D20)</f>
        <v>-10.4</v>
      </c>
      <c r="AP20" s="192">
        <v>1.2050000000000001</v>
      </c>
      <c r="AQ20" s="191">
        <v>9.6</v>
      </c>
      <c r="AR20" s="190">
        <v>1977</v>
      </c>
      <c r="AS20" s="246">
        <f>VALUE(I20)</f>
        <v>0</v>
      </c>
      <c r="AT20" s="5">
        <f>+AA20-AH20</f>
        <v>7.3000000000000007</v>
      </c>
      <c r="AU20" s="5"/>
      <c r="AV20" s="84"/>
      <c r="AW20" s="228">
        <v>15</v>
      </c>
      <c r="AX20" s="274">
        <v>0</v>
      </c>
      <c r="AY20" s="274">
        <v>0</v>
      </c>
      <c r="AZ20" s="274">
        <v>9</v>
      </c>
      <c r="BA20" s="274">
        <v>7</v>
      </c>
      <c r="BB20" s="274">
        <v>16</v>
      </c>
      <c r="BC20" s="273">
        <v>12</v>
      </c>
      <c r="BD20" s="274">
        <v>0</v>
      </c>
      <c r="BE20" s="274">
        <v>5</v>
      </c>
      <c r="BF20" s="273">
        <v>2</v>
      </c>
      <c r="BG20" s="274">
        <v>0</v>
      </c>
      <c r="BH20" s="274">
        <v>1</v>
      </c>
      <c r="BI20" s="273">
        <v>0</v>
      </c>
      <c r="BJ20" s="274">
        <v>3</v>
      </c>
      <c r="BK20" s="274">
        <v>3</v>
      </c>
      <c r="BL20" s="273">
        <v>3</v>
      </c>
      <c r="BM20" s="237" t="s">
        <v>145</v>
      </c>
      <c r="BN20" s="205" t="s">
        <v>144</v>
      </c>
      <c r="BO20" s="205">
        <v>12</v>
      </c>
      <c r="BP20" s="205">
        <f>COUNTIF(B6:B36,"&lt;0,1")</f>
        <v>3</v>
      </c>
      <c r="BQ20" s="284">
        <f>+BP20-BO20</f>
        <v>-9</v>
      </c>
      <c r="BR20" s="288"/>
      <c r="BS20" s="207"/>
      <c r="BW20" s="171">
        <v>1992</v>
      </c>
      <c r="BX20" s="170">
        <v>-0.5096774193548389</v>
      </c>
      <c r="BY20" s="169">
        <v>17</v>
      </c>
      <c r="BZ20" s="20">
        <v>1991</v>
      </c>
      <c r="CA20" s="222">
        <v>-0.38709677419354838</v>
      </c>
      <c r="CC20" s="171">
        <v>1992</v>
      </c>
      <c r="CD20" s="170">
        <v>2.4064516129032261</v>
      </c>
      <c r="CE20" s="169">
        <v>17</v>
      </c>
      <c r="CF20" s="20">
        <v>2001</v>
      </c>
      <c r="CG20" s="222">
        <v>2.5838709677419356</v>
      </c>
      <c r="CI20" s="171">
        <v>1992</v>
      </c>
      <c r="CJ20" s="170">
        <v>-4.9903225806451612</v>
      </c>
      <c r="CK20" s="169">
        <v>17</v>
      </c>
      <c r="CL20" s="20">
        <v>1977</v>
      </c>
      <c r="CM20" s="18">
        <v>-3.6580645161290319</v>
      </c>
      <c r="CO20" s="171">
        <v>1992</v>
      </c>
      <c r="CP20" s="170">
        <v>-4.9903225806451612</v>
      </c>
      <c r="CQ20" s="169">
        <v>17</v>
      </c>
      <c r="CR20" s="20">
        <v>2011</v>
      </c>
      <c r="CS20" s="222">
        <v>-4.8290322580645171</v>
      </c>
      <c r="CU20" s="171">
        <v>1992</v>
      </c>
      <c r="CV20" s="170">
        <v>29.5</v>
      </c>
      <c r="CW20" s="169">
        <v>17</v>
      </c>
      <c r="CX20" s="20">
        <v>2009</v>
      </c>
      <c r="CY20" s="222">
        <v>38.6</v>
      </c>
    </row>
    <row r="21" spans="1:103" ht="15.4" customHeight="1" x14ac:dyDescent="0.2">
      <c r="A21" s="91">
        <v>16</v>
      </c>
      <c r="B21" s="267">
        <v>1.4</v>
      </c>
      <c r="C21" s="267">
        <v>-3</v>
      </c>
      <c r="D21" s="267">
        <v>-4.7</v>
      </c>
      <c r="E21" s="267">
        <v>-2.5</v>
      </c>
      <c r="F21" s="267">
        <v>-0.9</v>
      </c>
      <c r="G21" s="266">
        <v>0.7</v>
      </c>
      <c r="H21" s="221">
        <v>-0.5</v>
      </c>
      <c r="I21" s="265">
        <v>2.2000000000000002</v>
      </c>
      <c r="J21" s="264">
        <v>76</v>
      </c>
      <c r="K21" s="263">
        <v>89</v>
      </c>
      <c r="L21" s="262">
        <v>87</v>
      </c>
      <c r="M21" s="261">
        <v>2</v>
      </c>
      <c r="N21" s="260"/>
      <c r="O21" s="91">
        <v>16</v>
      </c>
      <c r="P21" s="11">
        <v>-1.854166666666667</v>
      </c>
      <c r="Q21" s="11">
        <v>7.85</v>
      </c>
      <c r="R21" s="156">
        <v>2015</v>
      </c>
      <c r="S21" s="11">
        <v>-13.7</v>
      </c>
      <c r="T21" s="156">
        <v>1985</v>
      </c>
      <c r="U21" s="103">
        <f>+H21</f>
        <v>-0.5</v>
      </c>
      <c r="V21" s="259">
        <v>1.3452380952380956</v>
      </c>
      <c r="W21" s="259">
        <v>9.3000000000000007</v>
      </c>
      <c r="X21" s="258">
        <v>1993</v>
      </c>
      <c r="Y21" s="259">
        <v>-9.4</v>
      </c>
      <c r="Z21" s="258">
        <v>1987</v>
      </c>
      <c r="AA21" s="184">
        <f>+B21</f>
        <v>1.4</v>
      </c>
      <c r="AB21" s="158">
        <v>16</v>
      </c>
      <c r="AC21" s="157">
        <v>-5.1047619047619053</v>
      </c>
      <c r="AD21" s="11">
        <v>5.4</v>
      </c>
      <c r="AE21" s="156">
        <v>2015</v>
      </c>
      <c r="AF21" s="11">
        <v>-17.8</v>
      </c>
      <c r="AG21" s="156" t="s">
        <v>100</v>
      </c>
      <c r="AH21" s="184">
        <f>VALUE(C21)</f>
        <v>-3</v>
      </c>
      <c r="AI21" s="158">
        <v>16</v>
      </c>
      <c r="AJ21" s="157">
        <v>-5.8261904761904759</v>
      </c>
      <c r="AK21" s="11">
        <v>3.9</v>
      </c>
      <c r="AL21" s="156">
        <v>2015</v>
      </c>
      <c r="AM21" s="11">
        <v>-19</v>
      </c>
      <c r="AN21" s="156" t="s">
        <v>100</v>
      </c>
      <c r="AO21" s="103">
        <f>VALUE(D21)</f>
        <v>-4.7</v>
      </c>
      <c r="AP21" s="155">
        <v>0.49250000000000005</v>
      </c>
      <c r="AQ21" s="154">
        <v>4.3</v>
      </c>
      <c r="AR21" s="153">
        <v>1986</v>
      </c>
      <c r="AS21" s="257">
        <f>VALUE(I21)</f>
        <v>2.2000000000000002</v>
      </c>
      <c r="AT21" s="5">
        <f>+AA21-AH21</f>
        <v>4.4000000000000004</v>
      </c>
      <c r="AU21" s="5"/>
      <c r="AV21" s="84"/>
      <c r="AW21" s="238">
        <v>16</v>
      </c>
      <c r="AX21" s="227">
        <v>16</v>
      </c>
      <c r="AY21" s="227">
        <v>12</v>
      </c>
      <c r="AZ21" s="227">
        <v>18</v>
      </c>
      <c r="BA21" s="227">
        <v>12</v>
      </c>
      <c r="BB21" s="227">
        <v>18</v>
      </c>
      <c r="BC21" s="226">
        <v>12</v>
      </c>
      <c r="BD21" s="227">
        <v>10</v>
      </c>
      <c r="BE21" s="227">
        <v>10</v>
      </c>
      <c r="BF21" s="226">
        <v>10</v>
      </c>
      <c r="BG21" s="227">
        <v>2</v>
      </c>
      <c r="BH21" s="227">
        <v>7</v>
      </c>
      <c r="BI21" s="226">
        <v>2</v>
      </c>
      <c r="BJ21" s="227">
        <v>3</v>
      </c>
      <c r="BK21" s="227">
        <v>9</v>
      </c>
      <c r="BL21" s="226">
        <v>9</v>
      </c>
      <c r="BM21" s="237"/>
      <c r="BN21" s="236" t="s">
        <v>143</v>
      </c>
      <c r="BO21" s="236">
        <v>25</v>
      </c>
      <c r="BP21" s="236">
        <f>COUNTIF(D6:D36,"&lt;0")</f>
        <v>19</v>
      </c>
      <c r="BQ21" s="275">
        <f>+BP21-BO21</f>
        <v>-6</v>
      </c>
      <c r="BR21" s="70"/>
      <c r="BS21" s="83"/>
      <c r="BW21" s="171">
        <v>1993</v>
      </c>
      <c r="BX21" s="170">
        <v>1.883870967741935</v>
      </c>
      <c r="BY21" s="169">
        <v>18</v>
      </c>
      <c r="BZ21" s="20">
        <v>1992</v>
      </c>
      <c r="CA21" s="222">
        <v>-0.5096774193548389</v>
      </c>
      <c r="CC21" s="171">
        <v>1993</v>
      </c>
      <c r="CD21" s="170">
        <v>3.6967741935483875</v>
      </c>
      <c r="CE21" s="169">
        <v>18</v>
      </c>
      <c r="CF21" s="20">
        <v>1992</v>
      </c>
      <c r="CG21" s="222">
        <v>2.4064516129032261</v>
      </c>
      <c r="CI21" s="171">
        <v>1993</v>
      </c>
      <c r="CJ21" s="170">
        <v>-7.4161290322580644</v>
      </c>
      <c r="CK21" s="169">
        <v>18</v>
      </c>
      <c r="CL21" s="20">
        <v>2005</v>
      </c>
      <c r="CM21" s="18">
        <v>-3.9129032258064522</v>
      </c>
      <c r="CO21" s="171">
        <v>1993</v>
      </c>
      <c r="CP21" s="170">
        <v>-7.4161290322580644</v>
      </c>
      <c r="CQ21" s="169">
        <v>18</v>
      </c>
      <c r="CR21" s="20">
        <v>2002</v>
      </c>
      <c r="CS21" s="222">
        <v>-4.903225806451613</v>
      </c>
      <c r="CU21" s="171">
        <v>1993</v>
      </c>
      <c r="CV21" s="170">
        <v>25.099999999999998</v>
      </c>
      <c r="CW21" s="169">
        <v>18</v>
      </c>
      <c r="CX21" s="20">
        <v>2016</v>
      </c>
      <c r="CY21" s="222">
        <v>37.799999999999997</v>
      </c>
    </row>
    <row r="22" spans="1:103" ht="15.4" customHeight="1" x14ac:dyDescent="0.2">
      <c r="A22" s="163">
        <v>17</v>
      </c>
      <c r="B22" s="245">
        <v>3.1</v>
      </c>
      <c r="C22" s="245">
        <v>-1.8</v>
      </c>
      <c r="D22" s="245">
        <v>-6.2</v>
      </c>
      <c r="E22" s="245">
        <v>-0.7</v>
      </c>
      <c r="F22" s="245">
        <v>1.6</v>
      </c>
      <c r="G22" s="244">
        <v>0.4</v>
      </c>
      <c r="H22" s="167">
        <v>0.42500000000000004</v>
      </c>
      <c r="I22" s="247">
        <v>0.7</v>
      </c>
      <c r="J22" s="243">
        <v>85</v>
      </c>
      <c r="K22" s="242">
        <v>83</v>
      </c>
      <c r="L22" s="241">
        <v>83</v>
      </c>
      <c r="M22" s="240">
        <v>1</v>
      </c>
      <c r="N22" s="239">
        <v>2</v>
      </c>
      <c r="O22" s="163">
        <v>17</v>
      </c>
      <c r="P22" s="11">
        <v>-1.3892857142857138</v>
      </c>
      <c r="Q22" s="11">
        <v>6.2</v>
      </c>
      <c r="R22" s="156">
        <v>1990</v>
      </c>
      <c r="S22" s="11">
        <v>-11.6</v>
      </c>
      <c r="T22" s="156">
        <v>1985</v>
      </c>
      <c r="U22" s="103">
        <f>+H22</f>
        <v>0.42500000000000004</v>
      </c>
      <c r="V22" s="176">
        <v>1.9452380952380957</v>
      </c>
      <c r="W22" s="176">
        <v>13.6</v>
      </c>
      <c r="X22" s="175">
        <v>1993</v>
      </c>
      <c r="Y22" s="176">
        <v>-9.3000000000000007</v>
      </c>
      <c r="Z22" s="175">
        <v>1987</v>
      </c>
      <c r="AA22" s="103">
        <f>+B22</f>
        <v>3.1</v>
      </c>
      <c r="AB22" s="158">
        <v>17</v>
      </c>
      <c r="AC22" s="157">
        <v>-5.6238095238095225</v>
      </c>
      <c r="AD22" s="11">
        <v>4.3</v>
      </c>
      <c r="AE22" s="156" t="s">
        <v>99</v>
      </c>
      <c r="AF22" s="11">
        <v>-19.7</v>
      </c>
      <c r="AG22" s="156" t="s">
        <v>100</v>
      </c>
      <c r="AH22" s="103">
        <f>VALUE(C22)</f>
        <v>-1.8</v>
      </c>
      <c r="AI22" s="158">
        <v>17</v>
      </c>
      <c r="AJ22" s="157">
        <v>-6.3238095238095227</v>
      </c>
      <c r="AK22" s="11">
        <v>6.1</v>
      </c>
      <c r="AL22" s="156">
        <v>2015</v>
      </c>
      <c r="AM22" s="11">
        <v>-21.5</v>
      </c>
      <c r="AN22" s="156" t="s">
        <v>100</v>
      </c>
      <c r="AO22" s="103">
        <f>VALUE(D22)</f>
        <v>-6.2</v>
      </c>
      <c r="AP22" s="155">
        <v>1.3700000000000003</v>
      </c>
      <c r="AQ22" s="154">
        <v>11.6</v>
      </c>
      <c r="AR22" s="153">
        <v>1984</v>
      </c>
      <c r="AS22" s="246">
        <f>VALUE(I22)</f>
        <v>0.7</v>
      </c>
      <c r="AT22" s="5">
        <f>+AA22-AH22</f>
        <v>4.9000000000000004</v>
      </c>
      <c r="AU22" s="5"/>
      <c r="AV22" s="84"/>
      <c r="AW22" s="238">
        <v>17</v>
      </c>
      <c r="AX22" s="227">
        <v>20</v>
      </c>
      <c r="AY22" s="227">
        <v>2</v>
      </c>
      <c r="AZ22" s="227">
        <v>22</v>
      </c>
      <c r="BA22" s="227">
        <v>4</v>
      </c>
      <c r="BB22" s="227">
        <v>22</v>
      </c>
      <c r="BC22" s="226">
        <v>4</v>
      </c>
      <c r="BD22" s="227">
        <v>4</v>
      </c>
      <c r="BE22" s="227">
        <v>8</v>
      </c>
      <c r="BF22" s="226">
        <v>8</v>
      </c>
      <c r="BG22" s="227">
        <v>1</v>
      </c>
      <c r="BH22" s="227">
        <v>2</v>
      </c>
      <c r="BI22" s="226">
        <v>2</v>
      </c>
      <c r="BJ22" s="227">
        <v>9</v>
      </c>
      <c r="BK22" s="227">
        <v>7</v>
      </c>
      <c r="BL22" s="226">
        <v>7</v>
      </c>
      <c r="BM22" s="237"/>
      <c r="BN22" s="236" t="s">
        <v>142</v>
      </c>
      <c r="BO22" s="236">
        <v>0</v>
      </c>
      <c r="BP22" s="236">
        <f>COUNTIF(B6:B36,"&gt;19,9")</f>
        <v>0</v>
      </c>
      <c r="BQ22" s="275">
        <f>+BP22-BO22</f>
        <v>0</v>
      </c>
      <c r="BR22" s="70"/>
      <c r="BS22" s="83"/>
      <c r="BW22" s="171">
        <v>1994</v>
      </c>
      <c r="BX22" s="170">
        <v>2.4483870967741934</v>
      </c>
      <c r="BY22" s="169">
        <v>19</v>
      </c>
      <c r="BZ22" s="20">
        <v>1978</v>
      </c>
      <c r="CA22" s="222">
        <v>-0.5580645161290323</v>
      </c>
      <c r="CC22" s="171">
        <v>1994</v>
      </c>
      <c r="CD22" s="170">
        <v>5.2290322580645148</v>
      </c>
      <c r="CE22" s="169">
        <v>19</v>
      </c>
      <c r="CF22" s="20">
        <v>1978</v>
      </c>
      <c r="CG22" s="222">
        <v>2.4</v>
      </c>
      <c r="CI22" s="171">
        <v>1994</v>
      </c>
      <c r="CJ22" s="170">
        <v>-2.9870967741935477</v>
      </c>
      <c r="CK22" s="169">
        <v>19</v>
      </c>
      <c r="CL22" s="20">
        <v>2011</v>
      </c>
      <c r="CM22" s="18">
        <v>-4.193548387096774</v>
      </c>
      <c r="CO22" s="171">
        <v>1994</v>
      </c>
      <c r="CP22" s="170">
        <v>-2.9935483870967738</v>
      </c>
      <c r="CQ22" s="169">
        <v>19</v>
      </c>
      <c r="CR22" s="20">
        <v>1992</v>
      </c>
      <c r="CS22" s="222">
        <v>-4.9903225806451612</v>
      </c>
      <c r="CU22" s="171">
        <v>1994</v>
      </c>
      <c r="CV22" s="170">
        <v>24.3</v>
      </c>
      <c r="CW22" s="169">
        <v>19</v>
      </c>
      <c r="CX22" s="20">
        <v>1998</v>
      </c>
      <c r="CY22" s="222">
        <v>37.699999999999996</v>
      </c>
    </row>
    <row r="23" spans="1:103" ht="15.4" customHeight="1" thickBot="1" x14ac:dyDescent="0.25">
      <c r="A23" s="163">
        <v>18</v>
      </c>
      <c r="B23" s="245">
        <v>4.8</v>
      </c>
      <c r="C23" s="245">
        <v>-2.4</v>
      </c>
      <c r="D23" s="245">
        <v>-6.2</v>
      </c>
      <c r="E23" s="245">
        <v>-0.9</v>
      </c>
      <c r="F23" s="245">
        <v>1.6</v>
      </c>
      <c r="G23" s="244">
        <v>4.5999999999999996</v>
      </c>
      <c r="H23" s="167">
        <v>2.4749999999999996</v>
      </c>
      <c r="I23" s="247">
        <v>0.2</v>
      </c>
      <c r="J23" s="243">
        <v>87</v>
      </c>
      <c r="K23" s="242">
        <v>75</v>
      </c>
      <c r="L23" s="241">
        <v>79</v>
      </c>
      <c r="M23" s="240"/>
      <c r="N23" s="239">
        <v>2</v>
      </c>
      <c r="O23" s="163">
        <v>18</v>
      </c>
      <c r="P23" s="11">
        <v>-1.9803571428571427</v>
      </c>
      <c r="Q23" s="11">
        <v>9.4250000000000007</v>
      </c>
      <c r="R23" s="156">
        <v>2007</v>
      </c>
      <c r="S23" s="11">
        <v>-11</v>
      </c>
      <c r="T23" s="156">
        <v>1982</v>
      </c>
      <c r="U23" s="103">
        <f>+H23</f>
        <v>2.4749999999999996</v>
      </c>
      <c r="V23" s="176">
        <v>1.2142857142857142</v>
      </c>
      <c r="W23" s="176">
        <v>10.7</v>
      </c>
      <c r="X23" s="175">
        <v>2007</v>
      </c>
      <c r="Y23" s="176">
        <v>-9</v>
      </c>
      <c r="Z23" s="175">
        <v>1987</v>
      </c>
      <c r="AA23" s="103">
        <f>+B23</f>
        <v>4.8</v>
      </c>
      <c r="AB23" s="158">
        <v>18</v>
      </c>
      <c r="AC23" s="157">
        <v>-5.5095238095238095</v>
      </c>
      <c r="AD23" s="11">
        <v>6.3</v>
      </c>
      <c r="AE23" s="156" t="s">
        <v>94</v>
      </c>
      <c r="AF23" s="11">
        <v>-16.399999999999999</v>
      </c>
      <c r="AG23" s="156" t="s">
        <v>141</v>
      </c>
      <c r="AH23" s="103">
        <f>VALUE(C23)</f>
        <v>-2.4</v>
      </c>
      <c r="AI23" s="158">
        <v>18</v>
      </c>
      <c r="AJ23" s="157">
        <v>-6.0571428571428569</v>
      </c>
      <c r="AK23" s="11">
        <v>4.9000000000000004</v>
      </c>
      <c r="AL23" s="156" t="s">
        <v>94</v>
      </c>
      <c r="AM23" s="11">
        <v>-19.7</v>
      </c>
      <c r="AN23" s="156" t="s">
        <v>141</v>
      </c>
      <c r="AO23" s="103">
        <f>VALUE(D23)</f>
        <v>-6.2</v>
      </c>
      <c r="AP23" s="155">
        <v>1.395</v>
      </c>
      <c r="AQ23" s="154">
        <v>26</v>
      </c>
      <c r="AR23" s="153">
        <v>2007</v>
      </c>
      <c r="AS23" s="246">
        <f>VALUE(I23)</f>
        <v>0.2</v>
      </c>
      <c r="AT23" s="5">
        <f>+AA23-AH23</f>
        <v>7.1999999999999993</v>
      </c>
      <c r="AU23" s="5"/>
      <c r="AV23" s="84"/>
      <c r="AW23" s="238">
        <v>18</v>
      </c>
      <c r="AX23" s="227">
        <v>22</v>
      </c>
      <c r="AY23" s="227">
        <v>4</v>
      </c>
      <c r="AZ23" s="227">
        <v>22</v>
      </c>
      <c r="BA23" s="227">
        <v>12</v>
      </c>
      <c r="BB23" s="227">
        <v>22</v>
      </c>
      <c r="BC23" s="226">
        <v>12</v>
      </c>
      <c r="BD23" s="227">
        <v>10</v>
      </c>
      <c r="BE23" s="227">
        <v>10</v>
      </c>
      <c r="BF23" s="226">
        <v>10</v>
      </c>
      <c r="BG23" s="227">
        <v>2</v>
      </c>
      <c r="BH23" s="227">
        <v>2</v>
      </c>
      <c r="BI23" s="226">
        <v>2</v>
      </c>
      <c r="BJ23" s="227">
        <v>9</v>
      </c>
      <c r="BK23" s="227">
        <v>7</v>
      </c>
      <c r="BL23" s="226">
        <v>5</v>
      </c>
      <c r="BM23" s="225"/>
      <c r="BN23" s="224" t="s">
        <v>140</v>
      </c>
      <c r="BO23" s="224">
        <v>0</v>
      </c>
      <c r="BP23" s="224">
        <f>COUNTIF(B6:B36,"&gt;24,9")</f>
        <v>0</v>
      </c>
      <c r="BQ23" s="287">
        <f>+BP23-BO23</f>
        <v>0</v>
      </c>
      <c r="BR23" s="57"/>
      <c r="BS23" s="286"/>
      <c r="BW23" s="171">
        <v>1995</v>
      </c>
      <c r="BX23" s="170">
        <v>-1.5483870967741933</v>
      </c>
      <c r="BY23" s="169">
        <v>20</v>
      </c>
      <c r="BZ23" s="20">
        <v>2001</v>
      </c>
      <c r="CA23" s="222">
        <v>-0.72741935483870968</v>
      </c>
      <c r="CC23" s="171">
        <v>1995</v>
      </c>
      <c r="CD23" s="170">
        <v>1.4225806451612903</v>
      </c>
      <c r="CE23" s="169">
        <v>20</v>
      </c>
      <c r="CF23" s="20">
        <v>2011</v>
      </c>
      <c r="CG23" s="222">
        <v>2.3451612903225811</v>
      </c>
      <c r="CI23" s="171">
        <v>1995</v>
      </c>
      <c r="CJ23" s="170">
        <v>-5.1806451612903244</v>
      </c>
      <c r="CK23" s="169">
        <v>20</v>
      </c>
      <c r="CL23" s="20">
        <v>2001</v>
      </c>
      <c r="CM23" s="18">
        <v>-4.3193548387096783</v>
      </c>
      <c r="CO23" s="171">
        <v>1995</v>
      </c>
      <c r="CP23" s="170">
        <v>-6.2677419354838717</v>
      </c>
      <c r="CQ23" s="169">
        <v>20</v>
      </c>
      <c r="CR23" s="20">
        <v>1991</v>
      </c>
      <c r="CS23" s="222">
        <v>-5.0612903225806454</v>
      </c>
      <c r="CU23" s="171">
        <v>1995</v>
      </c>
      <c r="CV23" s="170">
        <v>60.800000000000004</v>
      </c>
      <c r="CW23" s="169">
        <v>20</v>
      </c>
      <c r="CX23" s="20">
        <v>1985</v>
      </c>
      <c r="CY23" s="222">
        <v>37.1</v>
      </c>
    </row>
    <row r="24" spans="1:103" ht="15.4" customHeight="1" x14ac:dyDescent="0.2">
      <c r="A24" s="163">
        <v>19</v>
      </c>
      <c r="B24" s="245">
        <v>5.0999999999999996</v>
      </c>
      <c r="C24" s="245">
        <v>0.4</v>
      </c>
      <c r="D24" s="245">
        <v>-2.5</v>
      </c>
      <c r="E24" s="245">
        <v>1.6</v>
      </c>
      <c r="F24" s="245">
        <v>3.8</v>
      </c>
      <c r="G24" s="244">
        <v>0.6</v>
      </c>
      <c r="H24" s="167">
        <v>1.65</v>
      </c>
      <c r="I24" s="247">
        <v>0.8</v>
      </c>
      <c r="J24" s="243">
        <v>74</v>
      </c>
      <c r="K24" s="242">
        <v>68</v>
      </c>
      <c r="L24" s="241">
        <v>95</v>
      </c>
      <c r="M24" s="240">
        <v>1</v>
      </c>
      <c r="N24" s="239"/>
      <c r="O24" s="163">
        <v>19</v>
      </c>
      <c r="P24" s="11">
        <v>-1.6071428571428572</v>
      </c>
      <c r="Q24" s="11">
        <v>8.4499999999999993</v>
      </c>
      <c r="R24" s="156">
        <v>2014</v>
      </c>
      <c r="S24" s="11">
        <v>-11.9</v>
      </c>
      <c r="T24" s="156">
        <v>1985</v>
      </c>
      <c r="U24" s="103">
        <f>+H24</f>
        <v>1.65</v>
      </c>
      <c r="V24" s="176">
        <v>1.6095238095238094</v>
      </c>
      <c r="W24" s="176">
        <v>15</v>
      </c>
      <c r="X24" s="175">
        <v>2014</v>
      </c>
      <c r="Y24" s="176">
        <v>-7.4</v>
      </c>
      <c r="Z24" s="175">
        <v>1987</v>
      </c>
      <c r="AA24" s="103">
        <f>+B24</f>
        <v>5.0999999999999996</v>
      </c>
      <c r="AB24" s="158">
        <v>19</v>
      </c>
      <c r="AC24" s="157">
        <v>-5.607142857142855</v>
      </c>
      <c r="AD24" s="11">
        <v>5.2</v>
      </c>
      <c r="AE24" s="156" t="s">
        <v>94</v>
      </c>
      <c r="AF24" s="11">
        <v>-19.3</v>
      </c>
      <c r="AG24" s="156" t="s">
        <v>139</v>
      </c>
      <c r="AH24" s="103">
        <f>VALUE(C24)</f>
        <v>0.4</v>
      </c>
      <c r="AI24" s="158">
        <v>19</v>
      </c>
      <c r="AJ24" s="157">
        <v>-6.6047619047619044</v>
      </c>
      <c r="AK24" s="11">
        <v>4.2</v>
      </c>
      <c r="AL24" s="156" t="s">
        <v>94</v>
      </c>
      <c r="AM24" s="11">
        <v>-19.3</v>
      </c>
      <c r="AN24" s="156" t="s">
        <v>139</v>
      </c>
      <c r="AO24" s="103">
        <f>VALUE(D24)</f>
        <v>-2.5</v>
      </c>
      <c r="AP24" s="155">
        <v>1.2375</v>
      </c>
      <c r="AQ24" s="154">
        <v>10.7</v>
      </c>
      <c r="AR24" s="153">
        <v>1992</v>
      </c>
      <c r="AS24" s="246">
        <f>VALUE(I24)</f>
        <v>0.8</v>
      </c>
      <c r="AT24" s="5">
        <f>+AA24-AH24</f>
        <v>4.6999999999999993</v>
      </c>
      <c r="AU24" s="5"/>
      <c r="AV24" s="84"/>
      <c r="AW24" s="238">
        <v>19</v>
      </c>
      <c r="AX24" s="227">
        <v>22</v>
      </c>
      <c r="AY24" s="227">
        <v>4</v>
      </c>
      <c r="AZ24" s="227">
        <v>22</v>
      </c>
      <c r="BA24" s="227">
        <v>4</v>
      </c>
      <c r="BB24" s="227">
        <v>22</v>
      </c>
      <c r="BC24" s="226">
        <v>4</v>
      </c>
      <c r="BD24" s="227">
        <v>10</v>
      </c>
      <c r="BE24" s="227">
        <v>4</v>
      </c>
      <c r="BF24" s="226">
        <v>10</v>
      </c>
      <c r="BG24" s="227">
        <v>2</v>
      </c>
      <c r="BH24" s="227">
        <v>1</v>
      </c>
      <c r="BI24" s="226">
        <v>7</v>
      </c>
      <c r="BJ24" s="227">
        <v>6</v>
      </c>
      <c r="BK24" s="227">
        <v>5</v>
      </c>
      <c r="BL24" s="226">
        <v>9</v>
      </c>
      <c r="BM24" s="237"/>
      <c r="BN24" s="205"/>
      <c r="BO24" s="205" t="s">
        <v>138</v>
      </c>
      <c r="BP24" s="205">
        <f>VALUE(BO1)</f>
        <v>0</v>
      </c>
      <c r="BQ24" s="285" t="s">
        <v>137</v>
      </c>
      <c r="BR24" s="284" t="s">
        <v>136</v>
      </c>
      <c r="BS24" s="283" t="s">
        <v>135</v>
      </c>
      <c r="BW24" s="171">
        <v>1996</v>
      </c>
      <c r="BX24" s="170">
        <v>-4.9451612903225808</v>
      </c>
      <c r="BY24" s="169">
        <v>21</v>
      </c>
      <c r="BZ24" s="20">
        <v>2011</v>
      </c>
      <c r="CA24" s="222">
        <v>-0.75645161290322593</v>
      </c>
      <c r="CC24" s="171">
        <v>1996</v>
      </c>
      <c r="CD24" s="170">
        <v>-2.5838709677419351</v>
      </c>
      <c r="CE24" s="169">
        <v>21</v>
      </c>
      <c r="CF24" s="20">
        <v>1984</v>
      </c>
      <c r="CG24" s="222">
        <v>2.2516129032258068</v>
      </c>
      <c r="CI24" s="171">
        <v>1996</v>
      </c>
      <c r="CJ24" s="170">
        <v>-7.8870967741935489</v>
      </c>
      <c r="CK24" s="169">
        <v>21</v>
      </c>
      <c r="CL24" s="20">
        <v>2002</v>
      </c>
      <c r="CM24" s="18">
        <v>-4.4225806451612915</v>
      </c>
      <c r="CO24" s="171">
        <v>1996</v>
      </c>
      <c r="CP24" s="170">
        <v>-8.9548387096774178</v>
      </c>
      <c r="CQ24" s="169">
        <v>21</v>
      </c>
      <c r="CR24" s="20">
        <v>2013</v>
      </c>
      <c r="CS24" s="222">
        <v>-5.154838709677418</v>
      </c>
      <c r="CU24" s="171">
        <v>1996</v>
      </c>
      <c r="CV24" s="170">
        <v>15.7</v>
      </c>
      <c r="CW24" s="169">
        <v>21</v>
      </c>
      <c r="CX24" s="20">
        <v>2000</v>
      </c>
      <c r="CY24" s="222">
        <v>36.800000000000004</v>
      </c>
    </row>
    <row r="25" spans="1:103" ht="15.4" customHeight="1" thickBot="1" x14ac:dyDescent="0.25">
      <c r="A25" s="86">
        <v>20</v>
      </c>
      <c r="B25" s="235">
        <v>2</v>
      </c>
      <c r="C25" s="235">
        <v>-3.5</v>
      </c>
      <c r="D25" s="235">
        <v>-6.1</v>
      </c>
      <c r="E25" s="235">
        <v>-1.5</v>
      </c>
      <c r="F25" s="235">
        <v>1.6</v>
      </c>
      <c r="G25" s="234">
        <v>-0.1</v>
      </c>
      <c r="H25" s="198">
        <v>-2.4999999999999981E-2</v>
      </c>
      <c r="I25" s="282">
        <v>0.4</v>
      </c>
      <c r="J25" s="233">
        <v>91</v>
      </c>
      <c r="K25" s="232">
        <v>82</v>
      </c>
      <c r="L25" s="231">
        <v>83</v>
      </c>
      <c r="M25" s="230"/>
      <c r="N25" s="281">
        <v>1</v>
      </c>
      <c r="O25" s="86">
        <v>20</v>
      </c>
      <c r="P25" s="26">
        <v>-1.4559523809523807</v>
      </c>
      <c r="Q25" s="26">
        <v>8.7750000000000004</v>
      </c>
      <c r="R25" s="193">
        <v>2008</v>
      </c>
      <c r="S25" s="26">
        <v>-11.8</v>
      </c>
      <c r="T25" s="193">
        <v>1982</v>
      </c>
      <c r="U25" s="103">
        <f>+H25</f>
        <v>-2.4999999999999981E-2</v>
      </c>
      <c r="V25" s="161">
        <v>1.4571428571428573</v>
      </c>
      <c r="W25" s="161">
        <v>11.2</v>
      </c>
      <c r="X25" s="160">
        <v>2007</v>
      </c>
      <c r="Y25" s="161">
        <v>-8</v>
      </c>
      <c r="Z25" s="160">
        <v>1987</v>
      </c>
      <c r="AA25" s="159">
        <f>+B25</f>
        <v>2</v>
      </c>
      <c r="AB25" s="195">
        <v>20</v>
      </c>
      <c r="AC25" s="194">
        <v>-4.8285714285714292</v>
      </c>
      <c r="AD25" s="26">
        <v>7.7</v>
      </c>
      <c r="AE25" s="193" t="s">
        <v>99</v>
      </c>
      <c r="AF25" s="26">
        <v>-19.8</v>
      </c>
      <c r="AG25" s="193" t="s">
        <v>100</v>
      </c>
      <c r="AH25" s="159">
        <f>VALUE(C25)</f>
        <v>-3.5</v>
      </c>
      <c r="AI25" s="195">
        <v>20</v>
      </c>
      <c r="AJ25" s="194">
        <v>-5.5857142857142845</v>
      </c>
      <c r="AK25" s="26">
        <v>6.6</v>
      </c>
      <c r="AL25" s="193" t="s">
        <v>99</v>
      </c>
      <c r="AM25" s="26">
        <v>-22.8</v>
      </c>
      <c r="AN25" s="193" t="s">
        <v>100</v>
      </c>
      <c r="AO25" s="103">
        <f>VALUE(D25)</f>
        <v>-6.1</v>
      </c>
      <c r="AP25" s="192">
        <v>1.43</v>
      </c>
      <c r="AQ25" s="191">
        <v>12.8</v>
      </c>
      <c r="AR25" s="190">
        <v>2014</v>
      </c>
      <c r="AS25" s="280">
        <f>VALUE(I25)</f>
        <v>0.4</v>
      </c>
      <c r="AT25" s="5">
        <f>+AA25-AH25</f>
        <v>5.5</v>
      </c>
      <c r="AU25" s="5"/>
      <c r="AV25" s="84"/>
      <c r="AW25" s="228">
        <v>20</v>
      </c>
      <c r="AX25" s="274">
        <v>0</v>
      </c>
      <c r="AY25" s="274">
        <v>0</v>
      </c>
      <c r="AZ25" s="274">
        <v>16</v>
      </c>
      <c r="BA25" s="274">
        <v>4</v>
      </c>
      <c r="BB25" s="274">
        <v>22</v>
      </c>
      <c r="BC25" s="273">
        <v>2</v>
      </c>
      <c r="BD25" s="274">
        <v>9</v>
      </c>
      <c r="BE25" s="274">
        <v>10</v>
      </c>
      <c r="BF25" s="273">
        <v>4</v>
      </c>
      <c r="BG25" s="274">
        <v>2</v>
      </c>
      <c r="BH25" s="274">
        <v>2</v>
      </c>
      <c r="BI25" s="273">
        <v>1</v>
      </c>
      <c r="BJ25" s="274">
        <v>9</v>
      </c>
      <c r="BK25" s="274">
        <v>6</v>
      </c>
      <c r="BL25" s="273">
        <v>6</v>
      </c>
      <c r="BM25" s="237" t="s">
        <v>66</v>
      </c>
      <c r="BN25" s="236" t="s">
        <v>134</v>
      </c>
      <c r="BO25" s="236">
        <v>39</v>
      </c>
      <c r="BP25" s="236">
        <f>VALUE(I46)</f>
        <v>30.999999999999996</v>
      </c>
      <c r="BQ25" s="236">
        <f>+BP25-BO25</f>
        <v>-8.0000000000000036</v>
      </c>
      <c r="BR25" s="277">
        <f>+BP25/BO25*100</f>
        <v>79.487179487179489</v>
      </c>
      <c r="BS25" s="279">
        <f>MAX(AS6:AS36)</f>
        <v>15.2</v>
      </c>
      <c r="BW25" s="171">
        <v>1997</v>
      </c>
      <c r="BX25" s="170">
        <v>-5.6483870967741945</v>
      </c>
      <c r="BY25" s="169">
        <v>22</v>
      </c>
      <c r="BZ25" s="20">
        <v>2012</v>
      </c>
      <c r="CA25" s="222">
        <v>-0.76209677419354838</v>
      </c>
      <c r="CC25" s="171">
        <v>1997</v>
      </c>
      <c r="CD25" s="170">
        <v>-2.8741935483870975</v>
      </c>
      <c r="CE25" s="169">
        <v>22</v>
      </c>
      <c r="CF25" s="20">
        <v>2012</v>
      </c>
      <c r="CG25" s="222">
        <v>2.0193548387096776</v>
      </c>
      <c r="CI25" s="171">
        <v>1997</v>
      </c>
      <c r="CJ25" s="170">
        <v>-9.0096774193548388</v>
      </c>
      <c r="CK25" s="169">
        <v>22</v>
      </c>
      <c r="CL25" s="20">
        <v>1986</v>
      </c>
      <c r="CM25" s="18">
        <v>-4.6677419354838712</v>
      </c>
      <c r="CO25" s="171">
        <v>1997</v>
      </c>
      <c r="CP25" s="170">
        <v>-9.3645161290322587</v>
      </c>
      <c r="CQ25" s="169">
        <v>22</v>
      </c>
      <c r="CR25" s="20">
        <v>1989</v>
      </c>
      <c r="CS25" s="222">
        <v>-5.2290322580645157</v>
      </c>
      <c r="CU25" s="171">
        <v>1997</v>
      </c>
      <c r="CV25" s="170">
        <v>22.599999999999998</v>
      </c>
      <c r="CW25" s="169">
        <v>22</v>
      </c>
      <c r="CX25" s="20">
        <v>1983</v>
      </c>
      <c r="CY25" s="222">
        <v>36.700000000000003</v>
      </c>
    </row>
    <row r="26" spans="1:103" ht="15.4" customHeight="1" thickBot="1" x14ac:dyDescent="0.25">
      <c r="A26" s="163">
        <v>21</v>
      </c>
      <c r="B26" s="245">
        <v>1.5</v>
      </c>
      <c r="C26" s="245">
        <v>-2.1</v>
      </c>
      <c r="D26" s="245">
        <v>-2.9</v>
      </c>
      <c r="E26" s="245">
        <v>-1.6</v>
      </c>
      <c r="F26" s="245">
        <v>-0.7</v>
      </c>
      <c r="G26" s="244">
        <v>-2.1</v>
      </c>
      <c r="H26" s="167">
        <v>-1.625</v>
      </c>
      <c r="I26" s="247">
        <v>3.8</v>
      </c>
      <c r="J26" s="243">
        <v>98</v>
      </c>
      <c r="K26" s="242">
        <v>96</v>
      </c>
      <c r="L26" s="241">
        <v>97</v>
      </c>
      <c r="M26" s="240">
        <v>4</v>
      </c>
      <c r="N26" s="239">
        <v>1</v>
      </c>
      <c r="O26" s="163">
        <v>21</v>
      </c>
      <c r="P26" s="11">
        <v>-1.4101190476190477</v>
      </c>
      <c r="Q26" s="11">
        <v>8.3000000000000007</v>
      </c>
      <c r="R26" s="156">
        <v>2008</v>
      </c>
      <c r="S26" s="11">
        <v>-10.5</v>
      </c>
      <c r="T26" s="156">
        <v>1992</v>
      </c>
      <c r="U26" s="184">
        <f>+H26</f>
        <v>-1.625</v>
      </c>
      <c r="V26" s="259">
        <v>1.0666666666666662</v>
      </c>
      <c r="W26" s="259">
        <v>10.8</v>
      </c>
      <c r="X26" s="258">
        <v>2007</v>
      </c>
      <c r="Y26" s="259">
        <v>-8.8000000000000007</v>
      </c>
      <c r="Z26" s="258">
        <v>1992</v>
      </c>
      <c r="AA26" s="103">
        <f>+B26</f>
        <v>1.5</v>
      </c>
      <c r="AB26" s="158">
        <v>21</v>
      </c>
      <c r="AC26" s="157">
        <v>-4.0547619047619037</v>
      </c>
      <c r="AD26" s="11">
        <v>7.3</v>
      </c>
      <c r="AE26" s="156" t="s">
        <v>99</v>
      </c>
      <c r="AF26" s="11">
        <v>-14.9</v>
      </c>
      <c r="AG26" s="156" t="s">
        <v>104</v>
      </c>
      <c r="AH26" s="103">
        <f>VALUE(C26)</f>
        <v>-2.1</v>
      </c>
      <c r="AI26" s="158">
        <v>21</v>
      </c>
      <c r="AJ26" s="157">
        <v>-4.242857142857142</v>
      </c>
      <c r="AK26" s="11">
        <v>7.2</v>
      </c>
      <c r="AL26" s="156" t="s">
        <v>99</v>
      </c>
      <c r="AM26" s="11">
        <v>-17</v>
      </c>
      <c r="AN26" s="156" t="s">
        <v>104</v>
      </c>
      <c r="AO26" s="184">
        <f>VALUE(D26)</f>
        <v>-2.9</v>
      </c>
      <c r="AP26" s="155">
        <v>1.3199999999999998</v>
      </c>
      <c r="AQ26" s="154">
        <v>13</v>
      </c>
      <c r="AR26" s="153">
        <v>1998</v>
      </c>
      <c r="AS26" s="246">
        <f>VALUE(I26)</f>
        <v>3.8</v>
      </c>
      <c r="AT26" s="5">
        <f>+AA26-AH26</f>
        <v>3.6</v>
      </c>
      <c r="AU26" s="5"/>
      <c r="AV26" s="84"/>
      <c r="AW26" s="238">
        <v>21</v>
      </c>
      <c r="AX26" s="227">
        <v>0</v>
      </c>
      <c r="AY26" s="227">
        <v>0</v>
      </c>
      <c r="AZ26" s="227">
        <v>36</v>
      </c>
      <c r="BA26" s="227">
        <v>4</v>
      </c>
      <c r="BB26" s="227">
        <v>36</v>
      </c>
      <c r="BC26" s="226">
        <v>4</v>
      </c>
      <c r="BD26" s="227">
        <v>10</v>
      </c>
      <c r="BE26" s="227">
        <v>10</v>
      </c>
      <c r="BF26" s="226">
        <v>10</v>
      </c>
      <c r="BG26" s="227">
        <v>7</v>
      </c>
      <c r="BH26" s="227">
        <v>7</v>
      </c>
      <c r="BI26" s="226">
        <v>2</v>
      </c>
      <c r="BJ26" s="227">
        <v>9</v>
      </c>
      <c r="BK26" s="227">
        <v>9</v>
      </c>
      <c r="BL26" s="226">
        <v>9</v>
      </c>
      <c r="BM26" s="237"/>
      <c r="BN26" s="236" t="s">
        <v>133</v>
      </c>
      <c r="BO26" s="236">
        <v>39</v>
      </c>
      <c r="BP26" s="236">
        <f>VALUE(BP25)</f>
        <v>30.999999999999996</v>
      </c>
      <c r="BQ26" s="278">
        <f>+BP26-BO26</f>
        <v>-8.0000000000000036</v>
      </c>
      <c r="BR26" s="277">
        <f>+BP26/BO26*100</f>
        <v>79.487179487179489</v>
      </c>
      <c r="BS26" s="223">
        <f>VALUE(BS25)</f>
        <v>15.2</v>
      </c>
      <c r="BW26" s="171">
        <v>1998</v>
      </c>
      <c r="BX26" s="170">
        <v>0.79032258064516203</v>
      </c>
      <c r="BY26" s="169">
        <v>23</v>
      </c>
      <c r="BZ26" s="20">
        <v>2002</v>
      </c>
      <c r="CA26" s="222">
        <v>-1.0266129032258062</v>
      </c>
      <c r="CC26" s="171">
        <v>1998</v>
      </c>
      <c r="CD26" s="170">
        <v>3.8741935483870966</v>
      </c>
      <c r="CE26" s="169">
        <v>23</v>
      </c>
      <c r="CF26" s="20">
        <v>2016</v>
      </c>
      <c r="CG26" s="222">
        <v>1.7774193548387101</v>
      </c>
      <c r="CI26" s="171">
        <v>1998</v>
      </c>
      <c r="CJ26" s="170">
        <v>-2.4903225806451608</v>
      </c>
      <c r="CK26" s="169">
        <v>23</v>
      </c>
      <c r="CL26" s="20">
        <v>2000</v>
      </c>
      <c r="CM26" s="18">
        <v>-4.7225806451612913</v>
      </c>
      <c r="CO26" s="171">
        <v>1998</v>
      </c>
      <c r="CP26" s="170">
        <v>-2.8838709677419354</v>
      </c>
      <c r="CQ26" s="169">
        <v>23</v>
      </c>
      <c r="CR26" s="20">
        <v>2000</v>
      </c>
      <c r="CS26" s="222">
        <v>-5.2483870967741932</v>
      </c>
      <c r="CU26" s="171">
        <v>1998</v>
      </c>
      <c r="CV26" s="170">
        <v>37.699999999999996</v>
      </c>
      <c r="CW26" s="169">
        <v>23</v>
      </c>
      <c r="CX26" s="20">
        <v>2004</v>
      </c>
      <c r="CY26" s="222">
        <v>34.9</v>
      </c>
    </row>
    <row r="27" spans="1:103" ht="15.4" customHeight="1" x14ac:dyDescent="0.2">
      <c r="A27" s="163">
        <v>22</v>
      </c>
      <c r="B27" s="245">
        <v>-0.2</v>
      </c>
      <c r="C27" s="245">
        <v>-6.9</v>
      </c>
      <c r="D27" s="245">
        <v>-2.9</v>
      </c>
      <c r="E27" s="245">
        <v>-2.7</v>
      </c>
      <c r="F27" s="245">
        <v>-1.8</v>
      </c>
      <c r="G27" s="244">
        <v>-1.6</v>
      </c>
      <c r="H27" s="167">
        <v>-1.9249999999999998</v>
      </c>
      <c r="I27" s="247">
        <v>0.1</v>
      </c>
      <c r="J27" s="243">
        <v>91</v>
      </c>
      <c r="K27" s="242">
        <v>77</v>
      </c>
      <c r="L27" s="241">
        <v>71</v>
      </c>
      <c r="M27" s="240"/>
      <c r="N27" s="239">
        <v>4</v>
      </c>
      <c r="O27" s="163">
        <v>22</v>
      </c>
      <c r="P27" s="11">
        <v>-1.8077380952380955</v>
      </c>
      <c r="Q27" s="11">
        <v>9.5</v>
      </c>
      <c r="R27" s="156">
        <v>1993</v>
      </c>
      <c r="S27" s="11">
        <v>-17.774999999999999</v>
      </c>
      <c r="T27" s="156">
        <v>2006</v>
      </c>
      <c r="U27" s="103">
        <f>+H27</f>
        <v>-1.9249999999999998</v>
      </c>
      <c r="V27" s="176">
        <v>0.81666666666666676</v>
      </c>
      <c r="W27" s="176">
        <v>11</v>
      </c>
      <c r="X27" s="175">
        <v>1993</v>
      </c>
      <c r="Y27" s="176">
        <v>-9.4</v>
      </c>
      <c r="Z27" s="175">
        <v>2010</v>
      </c>
      <c r="AA27" s="103">
        <f>+B27</f>
        <v>-0.2</v>
      </c>
      <c r="AB27" s="158">
        <v>22</v>
      </c>
      <c r="AC27" s="157">
        <v>-5.1904761904761907</v>
      </c>
      <c r="AD27" s="11">
        <v>3.2</v>
      </c>
      <c r="AE27" s="156" t="s">
        <v>98</v>
      </c>
      <c r="AF27" s="11">
        <v>-20</v>
      </c>
      <c r="AG27" s="156" t="s">
        <v>97</v>
      </c>
      <c r="AH27" s="103">
        <f>VALUE(C27)</f>
        <v>-6.9</v>
      </c>
      <c r="AI27" s="158">
        <v>22</v>
      </c>
      <c r="AJ27" s="157">
        <v>-5.7380952380952372</v>
      </c>
      <c r="AK27" s="11">
        <v>5.8</v>
      </c>
      <c r="AL27" s="156" t="s">
        <v>99</v>
      </c>
      <c r="AM27" s="11">
        <v>-24.8</v>
      </c>
      <c r="AN27" s="156">
        <v>2016</v>
      </c>
      <c r="AO27" s="103">
        <f>VALUE(D27)</f>
        <v>-2.9</v>
      </c>
      <c r="AP27" s="155">
        <v>1.0999999999999999</v>
      </c>
      <c r="AQ27" s="154">
        <v>19.2</v>
      </c>
      <c r="AR27" s="153">
        <v>1995</v>
      </c>
      <c r="AS27" s="246">
        <f>VALUE(I27)</f>
        <v>0.1</v>
      </c>
      <c r="AT27" s="5">
        <f>+AA27-AH27</f>
        <v>6.7</v>
      </c>
      <c r="AU27" s="5"/>
      <c r="AV27" s="84"/>
      <c r="AW27" s="238">
        <v>22</v>
      </c>
      <c r="AX27" s="227">
        <v>2</v>
      </c>
      <c r="AY27" s="227">
        <v>2</v>
      </c>
      <c r="AZ27" s="227">
        <v>0</v>
      </c>
      <c r="BA27" s="227">
        <v>0</v>
      </c>
      <c r="BB27" s="227">
        <v>0</v>
      </c>
      <c r="BC27" s="226">
        <v>0</v>
      </c>
      <c r="BD27" s="227">
        <v>10</v>
      </c>
      <c r="BE27" s="227">
        <v>2</v>
      </c>
      <c r="BF27" s="226">
        <v>6</v>
      </c>
      <c r="BG27" s="227">
        <v>2</v>
      </c>
      <c r="BH27" s="227">
        <v>0</v>
      </c>
      <c r="BI27" s="226">
        <v>1</v>
      </c>
      <c r="BJ27" s="227">
        <v>9</v>
      </c>
      <c r="BK27" s="227">
        <v>9</v>
      </c>
      <c r="BL27" s="226">
        <v>9</v>
      </c>
      <c r="BM27" s="237"/>
      <c r="BN27" s="236" t="s">
        <v>132</v>
      </c>
      <c r="BO27" s="236">
        <v>16</v>
      </c>
      <c r="BP27" s="236">
        <f>COUNTIF(AS6:AS36,"&gt;0")</f>
        <v>16</v>
      </c>
      <c r="BQ27" s="275">
        <f>+BP27-BO27</f>
        <v>0</v>
      </c>
      <c r="BR27" s="276"/>
      <c r="BS27"/>
      <c r="BW27" s="171">
        <v>1999</v>
      </c>
      <c r="BX27" s="170">
        <v>0.5749999999999994</v>
      </c>
      <c r="BY27" s="169">
        <v>24</v>
      </c>
      <c r="BZ27" s="20">
        <v>2016</v>
      </c>
      <c r="CA27" s="222">
        <v>-1.1991935483870964</v>
      </c>
      <c r="CC27" s="171">
        <v>1999</v>
      </c>
      <c r="CD27" s="170">
        <v>3.5935483870967744</v>
      </c>
      <c r="CE27" s="169">
        <v>24</v>
      </c>
      <c r="CF27" s="20">
        <v>2002</v>
      </c>
      <c r="CG27" s="222">
        <v>1.6322580645161293</v>
      </c>
      <c r="CI27" s="171">
        <v>1999</v>
      </c>
      <c r="CJ27" s="170">
        <v>-2.0064516129032257</v>
      </c>
      <c r="CK27" s="169">
        <v>24</v>
      </c>
      <c r="CL27" s="20">
        <v>1992</v>
      </c>
      <c r="CM27" s="18">
        <v>-4.9903225806451612</v>
      </c>
      <c r="CO27" s="171">
        <v>1999</v>
      </c>
      <c r="CP27" s="170">
        <v>-3.2903225806451619</v>
      </c>
      <c r="CQ27" s="169">
        <v>24</v>
      </c>
      <c r="CR27" s="20">
        <v>2003</v>
      </c>
      <c r="CS27" s="222">
        <v>-5.4193548387096779</v>
      </c>
      <c r="CU27" s="171">
        <v>1999</v>
      </c>
      <c r="CV27" s="170">
        <v>25.400000000000002</v>
      </c>
      <c r="CW27" s="169">
        <v>24</v>
      </c>
      <c r="CX27" s="20">
        <v>1986</v>
      </c>
      <c r="CY27" s="222">
        <v>33.800000000000004</v>
      </c>
    </row>
    <row r="28" spans="1:103" ht="15.4" customHeight="1" x14ac:dyDescent="0.2">
      <c r="A28" s="163">
        <v>23</v>
      </c>
      <c r="B28" s="245">
        <v>1.4</v>
      </c>
      <c r="C28" s="245">
        <v>-1.8</v>
      </c>
      <c r="D28" s="245">
        <v>-2.6</v>
      </c>
      <c r="E28" s="245">
        <v>-0.9</v>
      </c>
      <c r="F28" s="245">
        <v>0.5</v>
      </c>
      <c r="G28" s="244">
        <v>1.4</v>
      </c>
      <c r="H28" s="167">
        <v>0.6</v>
      </c>
      <c r="I28" s="247">
        <v>0</v>
      </c>
      <c r="J28" s="243">
        <v>85</v>
      </c>
      <c r="K28" s="242">
        <v>88</v>
      </c>
      <c r="L28" s="241">
        <v>94</v>
      </c>
      <c r="M28" s="240"/>
      <c r="N28" s="239">
        <v>4</v>
      </c>
      <c r="O28" s="163">
        <v>23</v>
      </c>
      <c r="P28" s="11">
        <v>-1.7297619047619053</v>
      </c>
      <c r="Q28" s="11">
        <v>6</v>
      </c>
      <c r="R28" s="156">
        <v>1995</v>
      </c>
      <c r="S28" s="11">
        <v>-21.8</v>
      </c>
      <c r="T28" s="156">
        <v>2006</v>
      </c>
      <c r="U28" s="103">
        <f>+H28</f>
        <v>0.6</v>
      </c>
      <c r="V28" s="176">
        <v>1.0738095238095238</v>
      </c>
      <c r="W28" s="176">
        <v>11.2</v>
      </c>
      <c r="X28" s="175">
        <v>1993</v>
      </c>
      <c r="Y28" s="176">
        <v>-14.6</v>
      </c>
      <c r="Z28" s="175">
        <v>2006</v>
      </c>
      <c r="AA28" s="103">
        <f>+B28</f>
        <v>1.4</v>
      </c>
      <c r="AB28" s="158">
        <v>23</v>
      </c>
      <c r="AC28" s="157">
        <v>-4.60952380952381</v>
      </c>
      <c r="AD28" s="11">
        <v>2.3000000000000003</v>
      </c>
      <c r="AE28" s="156" t="s">
        <v>114</v>
      </c>
      <c r="AF28" s="11">
        <v>-24.2</v>
      </c>
      <c r="AG28" s="156" t="s">
        <v>97</v>
      </c>
      <c r="AH28" s="103">
        <f>VALUE(C28)</f>
        <v>-1.8</v>
      </c>
      <c r="AI28" s="158">
        <v>23</v>
      </c>
      <c r="AJ28" s="157">
        <v>-5.0642857142857149</v>
      </c>
      <c r="AK28" s="11">
        <v>2.5</v>
      </c>
      <c r="AL28" s="156">
        <v>2015</v>
      </c>
      <c r="AM28" s="11">
        <v>-24.4</v>
      </c>
      <c r="AN28" s="156" t="s">
        <v>97</v>
      </c>
      <c r="AO28" s="103">
        <f>VALUE(D28)</f>
        <v>-2.6</v>
      </c>
      <c r="AP28" s="155">
        <v>1.4125000000000001</v>
      </c>
      <c r="AQ28" s="154">
        <v>9.8000000000000007</v>
      </c>
      <c r="AR28" s="153">
        <v>2007</v>
      </c>
      <c r="AS28" s="246">
        <f>VALUE(I28)</f>
        <v>0</v>
      </c>
      <c r="AT28" s="5">
        <f>+AA28-AH28</f>
        <v>3.2</v>
      </c>
      <c r="AU28" s="5"/>
      <c r="AV28" s="84"/>
      <c r="AW28" s="238">
        <v>23</v>
      </c>
      <c r="AX28" s="227">
        <v>22</v>
      </c>
      <c r="AY28" s="227">
        <v>2</v>
      </c>
      <c r="AZ28" s="227">
        <v>22</v>
      </c>
      <c r="BA28" s="227">
        <v>4</v>
      </c>
      <c r="BB28" s="227">
        <v>22</v>
      </c>
      <c r="BC28" s="226">
        <v>4</v>
      </c>
      <c r="BD28" s="227">
        <v>10</v>
      </c>
      <c r="BE28" s="227">
        <v>10</v>
      </c>
      <c r="BF28" s="226">
        <v>9</v>
      </c>
      <c r="BG28" s="227">
        <v>2</v>
      </c>
      <c r="BH28" s="227">
        <v>2</v>
      </c>
      <c r="BI28" s="226">
        <v>2</v>
      </c>
      <c r="BJ28" s="227">
        <v>9</v>
      </c>
      <c r="BK28" s="227">
        <v>7</v>
      </c>
      <c r="BL28" s="226">
        <v>7</v>
      </c>
      <c r="BM28" s="237"/>
      <c r="BN28" s="236" t="s">
        <v>131</v>
      </c>
      <c r="BO28" s="236">
        <v>9</v>
      </c>
      <c r="BP28" s="236">
        <f>COUNTIF(AS6:AS36,"&gt;0,9")</f>
        <v>6</v>
      </c>
      <c r="BQ28" s="275">
        <f>+BP28-BO28</f>
        <v>-3</v>
      </c>
      <c r="BR28" s="70"/>
      <c r="BS28"/>
      <c r="BW28" s="171">
        <v>2000</v>
      </c>
      <c r="BX28" s="170">
        <v>-2.1854838709677415</v>
      </c>
      <c r="BY28" s="169">
        <v>25</v>
      </c>
      <c r="BZ28" s="20">
        <v>1986</v>
      </c>
      <c r="CA28" s="222">
        <v>-1.4032258064516128</v>
      </c>
      <c r="CC28" s="171">
        <v>2000</v>
      </c>
      <c r="CD28" s="170">
        <v>0.35483870967741926</v>
      </c>
      <c r="CE28" s="169">
        <v>25</v>
      </c>
      <c r="CF28" s="20">
        <v>1995</v>
      </c>
      <c r="CG28" s="222">
        <v>1.4225806451612903</v>
      </c>
      <c r="CI28" s="171">
        <v>2000</v>
      </c>
      <c r="CJ28" s="170">
        <v>-4.7225806451612913</v>
      </c>
      <c r="CK28" s="169">
        <v>25</v>
      </c>
      <c r="CL28" s="20">
        <v>1995</v>
      </c>
      <c r="CM28" s="18">
        <v>-5.1806451612903244</v>
      </c>
      <c r="CO28" s="171">
        <v>2000</v>
      </c>
      <c r="CP28" s="170">
        <v>-5.2483870967741932</v>
      </c>
      <c r="CQ28" s="169">
        <v>25</v>
      </c>
      <c r="CR28" s="20">
        <v>2001</v>
      </c>
      <c r="CS28" s="222">
        <v>-5.5838709677419374</v>
      </c>
      <c r="CU28" s="171">
        <v>2000</v>
      </c>
      <c r="CV28" s="170">
        <v>36.800000000000004</v>
      </c>
      <c r="CW28" s="169">
        <v>25</v>
      </c>
      <c r="CX28" s="20">
        <v>1981</v>
      </c>
      <c r="CY28" s="222">
        <v>33.70000000000001</v>
      </c>
    </row>
    <row r="29" spans="1:103" ht="15.4" customHeight="1" thickBot="1" x14ac:dyDescent="0.25">
      <c r="A29" s="163">
        <v>24</v>
      </c>
      <c r="B29" s="245">
        <v>4.8</v>
      </c>
      <c r="C29" s="245">
        <v>0.2</v>
      </c>
      <c r="D29" s="245">
        <v>-2</v>
      </c>
      <c r="E29" s="245">
        <v>3.3</v>
      </c>
      <c r="F29" s="245">
        <v>4.2</v>
      </c>
      <c r="G29" s="244">
        <v>4.5999999999999996</v>
      </c>
      <c r="H29" s="167">
        <v>4.1749999999999998</v>
      </c>
      <c r="I29" s="247"/>
      <c r="J29" s="243">
        <v>85</v>
      </c>
      <c r="K29" s="242">
        <v>81</v>
      </c>
      <c r="L29" s="241">
        <v>81</v>
      </c>
      <c r="M29" s="240"/>
      <c r="N29" s="239">
        <v>2</v>
      </c>
      <c r="O29" s="163">
        <v>24</v>
      </c>
      <c r="P29" s="11">
        <v>-2.0636904761904753</v>
      </c>
      <c r="Q29" s="11">
        <v>8.6</v>
      </c>
      <c r="R29" s="156">
        <v>1993</v>
      </c>
      <c r="S29" s="11">
        <v>-18.5</v>
      </c>
      <c r="T29" s="156">
        <v>2010</v>
      </c>
      <c r="U29" s="103">
        <f>+H29</f>
        <v>4.1749999999999998</v>
      </c>
      <c r="V29" s="176">
        <v>0.83571428571428563</v>
      </c>
      <c r="W29" s="176">
        <v>11.7</v>
      </c>
      <c r="X29" s="175">
        <v>1993</v>
      </c>
      <c r="Y29" s="176">
        <v>-12.6</v>
      </c>
      <c r="Z29" s="175">
        <v>2010</v>
      </c>
      <c r="AA29" s="103">
        <f>+B29</f>
        <v>4.8</v>
      </c>
      <c r="AB29" s="158">
        <v>24</v>
      </c>
      <c r="AC29" s="157">
        <v>-5.1833333333333327</v>
      </c>
      <c r="AD29" s="11">
        <v>5.2</v>
      </c>
      <c r="AE29" s="156" t="s">
        <v>98</v>
      </c>
      <c r="AF29" s="11">
        <v>-28.3</v>
      </c>
      <c r="AG29" s="156" t="s">
        <v>97</v>
      </c>
      <c r="AH29" s="103">
        <f>VALUE(C29)</f>
        <v>0.2</v>
      </c>
      <c r="AI29" s="158">
        <v>24</v>
      </c>
      <c r="AJ29" s="157">
        <v>-6.0071428571428571</v>
      </c>
      <c r="AK29" s="11">
        <v>5.4</v>
      </c>
      <c r="AL29" s="156" t="s">
        <v>98</v>
      </c>
      <c r="AM29" s="11">
        <v>-31.3</v>
      </c>
      <c r="AN29" s="156" t="s">
        <v>97</v>
      </c>
      <c r="AO29" s="103">
        <f>VALUE(D29)</f>
        <v>-2</v>
      </c>
      <c r="AP29" s="155">
        <v>1.9400000000000002</v>
      </c>
      <c r="AQ29" s="154">
        <v>11.2</v>
      </c>
      <c r="AR29" s="153">
        <v>2001</v>
      </c>
      <c r="AS29" s="246">
        <f>VALUE(I29)</f>
        <v>0</v>
      </c>
      <c r="AT29" s="5">
        <f>+AA29-AH29</f>
        <v>4.5999999999999996</v>
      </c>
      <c r="AU29" s="5"/>
      <c r="AV29" s="84"/>
      <c r="AW29" s="238">
        <v>24</v>
      </c>
      <c r="AX29" s="227">
        <v>22</v>
      </c>
      <c r="AY29" s="227">
        <v>7</v>
      </c>
      <c r="AZ29" s="227">
        <v>22</v>
      </c>
      <c r="BA29" s="227">
        <v>9</v>
      </c>
      <c r="BB29" s="227">
        <v>22</v>
      </c>
      <c r="BC29" s="226">
        <v>12</v>
      </c>
      <c r="BD29" s="227">
        <v>10</v>
      </c>
      <c r="BE29" s="227">
        <v>10</v>
      </c>
      <c r="BF29" s="226">
        <v>2</v>
      </c>
      <c r="BG29" s="227">
        <v>2</v>
      </c>
      <c r="BH29" s="227">
        <v>2</v>
      </c>
      <c r="BI29" s="226">
        <v>0</v>
      </c>
      <c r="BJ29" s="227">
        <v>7</v>
      </c>
      <c r="BK29" s="227">
        <v>5</v>
      </c>
      <c r="BL29" s="226">
        <v>5</v>
      </c>
      <c r="BM29" s="237"/>
      <c r="BN29" s="236" t="s">
        <v>130</v>
      </c>
      <c r="BO29" s="236">
        <v>1</v>
      </c>
      <c r="BP29" s="236">
        <f>COUNTIF(AS6:AS36,"&gt;9,9")</f>
        <v>1</v>
      </c>
      <c r="BQ29" s="275">
        <f>+BP29-BO29</f>
        <v>0</v>
      </c>
      <c r="BR29" s="57"/>
      <c r="BS29"/>
      <c r="BW29" s="171">
        <v>2001</v>
      </c>
      <c r="BX29" s="170">
        <v>-0.72741935483870968</v>
      </c>
      <c r="BY29" s="169">
        <v>26</v>
      </c>
      <c r="BZ29" s="20">
        <v>1995</v>
      </c>
      <c r="CA29" s="222">
        <v>-1.5483870967741933</v>
      </c>
      <c r="CC29" s="171">
        <v>2001</v>
      </c>
      <c r="CD29" s="170">
        <v>2.5838709677419356</v>
      </c>
      <c r="CE29" s="169">
        <v>26</v>
      </c>
      <c r="CF29" s="20">
        <v>1986</v>
      </c>
      <c r="CG29" s="222">
        <v>1.2290322580645159</v>
      </c>
      <c r="CI29" s="171">
        <v>2001</v>
      </c>
      <c r="CJ29" s="170">
        <v>-4.3193548387096783</v>
      </c>
      <c r="CK29" s="169">
        <v>26</v>
      </c>
      <c r="CL29" s="20">
        <v>2016</v>
      </c>
      <c r="CM29" s="18">
        <v>-5.183870967741937</v>
      </c>
      <c r="CO29" s="171">
        <v>2001</v>
      </c>
      <c r="CP29" s="170">
        <v>-5.5838709677419374</v>
      </c>
      <c r="CQ29" s="169">
        <v>26</v>
      </c>
      <c r="CR29" s="20">
        <v>1995</v>
      </c>
      <c r="CS29" s="222">
        <v>-6.2677419354838717</v>
      </c>
      <c r="CU29" s="171">
        <v>2001</v>
      </c>
      <c r="CV29" s="170">
        <v>65.099999999999994</v>
      </c>
      <c r="CW29" s="169">
        <v>26</v>
      </c>
      <c r="CX29" s="20">
        <v>2011</v>
      </c>
      <c r="CY29" s="222">
        <v>31.300000000000004</v>
      </c>
    </row>
    <row r="30" spans="1:103" ht="15.4" customHeight="1" thickBot="1" x14ac:dyDescent="0.25">
      <c r="A30" s="163">
        <v>25</v>
      </c>
      <c r="B30" s="245">
        <v>7.4</v>
      </c>
      <c r="C30" s="245">
        <v>3.9</v>
      </c>
      <c r="D30" s="245">
        <v>2.1</v>
      </c>
      <c r="E30" s="245">
        <v>5.0999999999999996</v>
      </c>
      <c r="F30" s="245">
        <v>5.9</v>
      </c>
      <c r="G30" s="244">
        <v>4.4000000000000004</v>
      </c>
      <c r="H30" s="167">
        <v>4.95</v>
      </c>
      <c r="I30" s="247"/>
      <c r="J30" s="243">
        <v>63</v>
      </c>
      <c r="K30" s="242">
        <v>55</v>
      </c>
      <c r="L30" s="241">
        <v>61</v>
      </c>
      <c r="M30" s="240"/>
      <c r="N30" s="239"/>
      <c r="O30" s="86">
        <v>25</v>
      </c>
      <c r="P30" s="26">
        <v>-2.2773809523809527</v>
      </c>
      <c r="Q30" s="26">
        <v>5.6</v>
      </c>
      <c r="R30" s="193">
        <v>1990</v>
      </c>
      <c r="S30" s="26">
        <v>-14.2</v>
      </c>
      <c r="T30" s="193">
        <v>1996</v>
      </c>
      <c r="U30" s="159">
        <f>+H30</f>
        <v>4.95</v>
      </c>
      <c r="V30" s="161">
        <v>0.75476190476190474</v>
      </c>
      <c r="W30" s="161">
        <v>8.1999999999999993</v>
      </c>
      <c r="X30" s="160">
        <v>1990</v>
      </c>
      <c r="Y30" s="161">
        <v>-12</v>
      </c>
      <c r="Z30" s="160">
        <v>1996</v>
      </c>
      <c r="AA30" s="103">
        <f>+B30</f>
        <v>7.4</v>
      </c>
      <c r="AB30" s="195">
        <v>25</v>
      </c>
      <c r="AC30" s="194">
        <v>-5.980952380952381</v>
      </c>
      <c r="AD30" s="26">
        <v>2.6</v>
      </c>
      <c r="AE30" s="193" t="s">
        <v>129</v>
      </c>
      <c r="AF30" s="26">
        <v>-22.5</v>
      </c>
      <c r="AG30" s="193" t="s">
        <v>123</v>
      </c>
      <c r="AH30" s="103">
        <f>VALUE(C30)</f>
        <v>3.9</v>
      </c>
      <c r="AI30" s="195">
        <v>25</v>
      </c>
      <c r="AJ30" s="194">
        <v>-6.3261904761904777</v>
      </c>
      <c r="AK30" s="26">
        <v>4.5999999999999996</v>
      </c>
      <c r="AL30" s="193" t="s">
        <v>98</v>
      </c>
      <c r="AM30" s="26">
        <v>-23.9</v>
      </c>
      <c r="AN30" s="193" t="s">
        <v>123</v>
      </c>
      <c r="AO30" s="159">
        <f>VALUE(D30)</f>
        <v>2.1</v>
      </c>
      <c r="AP30" s="192">
        <v>1.0149999999999999</v>
      </c>
      <c r="AQ30" s="191">
        <v>9.1</v>
      </c>
      <c r="AR30" s="190" t="s">
        <v>128</v>
      </c>
      <c r="AS30" s="246">
        <f>VALUE(I30)</f>
        <v>0</v>
      </c>
      <c r="AT30" s="5">
        <f>+AA30-AH30</f>
        <v>3.5000000000000004</v>
      </c>
      <c r="AU30" s="5"/>
      <c r="AV30" s="84"/>
      <c r="AW30" s="228">
        <v>25</v>
      </c>
      <c r="AX30" s="274">
        <v>22</v>
      </c>
      <c r="AY30" s="274">
        <v>12</v>
      </c>
      <c r="AZ30" s="274">
        <v>25</v>
      </c>
      <c r="BA30" s="274">
        <v>7</v>
      </c>
      <c r="BB30" s="274">
        <v>25</v>
      </c>
      <c r="BC30" s="273">
        <v>7</v>
      </c>
      <c r="BD30" s="274">
        <v>4</v>
      </c>
      <c r="BE30" s="274">
        <v>7</v>
      </c>
      <c r="BF30" s="273">
        <v>7</v>
      </c>
      <c r="BG30" s="274">
        <v>1</v>
      </c>
      <c r="BH30" s="274">
        <v>1</v>
      </c>
      <c r="BI30" s="273">
        <v>1</v>
      </c>
      <c r="BJ30" s="274">
        <v>2</v>
      </c>
      <c r="BK30" s="274">
        <v>2</v>
      </c>
      <c r="BL30" s="273">
        <v>2</v>
      </c>
      <c r="BM30" s="225"/>
      <c r="BN30" s="224" t="s">
        <v>127</v>
      </c>
      <c r="BO30" s="272">
        <v>10</v>
      </c>
      <c r="BP30" s="271"/>
      <c r="BQ30" s="271"/>
      <c r="BR30" s="270"/>
      <c r="BS30"/>
      <c r="BW30" s="171">
        <v>2002</v>
      </c>
      <c r="BX30" s="170">
        <v>-1.0266129032258062</v>
      </c>
      <c r="BY30" s="169">
        <v>27</v>
      </c>
      <c r="BZ30" s="20">
        <v>1976</v>
      </c>
      <c r="CA30" s="222">
        <v>-1.7225806451612906</v>
      </c>
      <c r="CC30" s="171">
        <v>2002</v>
      </c>
      <c r="CD30" s="170">
        <v>1.6322580645161293</v>
      </c>
      <c r="CE30" s="169">
        <v>27</v>
      </c>
      <c r="CF30" s="20">
        <v>1976</v>
      </c>
      <c r="CG30" s="222">
        <v>0.87741935483870936</v>
      </c>
      <c r="CI30" s="171">
        <v>2002</v>
      </c>
      <c r="CJ30" s="170">
        <v>-4.4225806451612915</v>
      </c>
      <c r="CK30" s="169">
        <v>27</v>
      </c>
      <c r="CL30" s="20">
        <v>1976</v>
      </c>
      <c r="CM30" s="18">
        <v>-5.2322580645161283</v>
      </c>
      <c r="CO30" s="171">
        <v>2002</v>
      </c>
      <c r="CP30" s="170">
        <v>-4.903225806451613</v>
      </c>
      <c r="CQ30" s="169">
        <v>27</v>
      </c>
      <c r="CR30" s="20">
        <v>2016</v>
      </c>
      <c r="CS30" s="222">
        <v>-6.280645161290324</v>
      </c>
      <c r="CU30" s="171">
        <v>2002</v>
      </c>
      <c r="CV30" s="170">
        <v>22.1</v>
      </c>
      <c r="CW30" s="169">
        <v>27</v>
      </c>
      <c r="CX30" s="269">
        <v>2018</v>
      </c>
      <c r="CY30" s="18">
        <v>31</v>
      </c>
    </row>
    <row r="31" spans="1:103" ht="15.4" customHeight="1" x14ac:dyDescent="0.2">
      <c r="A31" s="91">
        <v>26</v>
      </c>
      <c r="B31" s="267">
        <v>5.2</v>
      </c>
      <c r="C31" s="267">
        <v>1.4</v>
      </c>
      <c r="D31" s="268">
        <v>-1.4</v>
      </c>
      <c r="E31" s="267">
        <v>1.6</v>
      </c>
      <c r="F31" s="267">
        <v>4.5999999999999996</v>
      </c>
      <c r="G31" s="266">
        <v>2.1</v>
      </c>
      <c r="H31" s="221">
        <v>2.5999999999999996</v>
      </c>
      <c r="I31" s="265"/>
      <c r="J31" s="264">
        <v>76</v>
      </c>
      <c r="K31" s="263">
        <v>73</v>
      </c>
      <c r="L31" s="262">
        <v>84</v>
      </c>
      <c r="M31" s="261"/>
      <c r="N31" s="260"/>
      <c r="O31" s="163">
        <v>26</v>
      </c>
      <c r="P31" s="11">
        <v>-2.2214285714285706</v>
      </c>
      <c r="Q31" s="11">
        <v>8.9</v>
      </c>
      <c r="R31" s="156">
        <v>1995</v>
      </c>
      <c r="S31" s="11">
        <v>-14.675000000000001</v>
      </c>
      <c r="T31" s="156">
        <v>2014</v>
      </c>
      <c r="U31" s="103">
        <f>+H31</f>
        <v>2.5999999999999996</v>
      </c>
      <c r="V31" s="259">
        <v>0.71428571428571408</v>
      </c>
      <c r="W31" s="259">
        <v>10.7</v>
      </c>
      <c r="X31" s="258">
        <v>1995</v>
      </c>
      <c r="Y31" s="259">
        <v>-11</v>
      </c>
      <c r="Z31" s="258">
        <v>1996</v>
      </c>
      <c r="AA31" s="184">
        <f>+B31</f>
        <v>5.2</v>
      </c>
      <c r="AB31" s="158">
        <v>26</v>
      </c>
      <c r="AC31" s="157">
        <v>-5.6714285714285708</v>
      </c>
      <c r="AD31" s="11">
        <v>4.2</v>
      </c>
      <c r="AE31" s="156" t="s">
        <v>114</v>
      </c>
      <c r="AF31" s="11">
        <v>-18</v>
      </c>
      <c r="AG31" s="156" t="s">
        <v>109</v>
      </c>
      <c r="AH31" s="184">
        <f>VALUE(C31)</f>
        <v>1.4</v>
      </c>
      <c r="AI31" s="158">
        <v>26</v>
      </c>
      <c r="AJ31" s="157">
        <v>-5.6642857142857155</v>
      </c>
      <c r="AK31" s="11">
        <v>4.2</v>
      </c>
      <c r="AL31" s="156" t="s">
        <v>114</v>
      </c>
      <c r="AM31" s="11">
        <v>-18.8</v>
      </c>
      <c r="AN31" s="156" t="s">
        <v>126</v>
      </c>
      <c r="AO31" s="103">
        <f>VALUE(D31)</f>
        <v>-1.4</v>
      </c>
      <c r="AP31" s="155">
        <v>0.93249999999999988</v>
      </c>
      <c r="AQ31" s="154">
        <v>5.2</v>
      </c>
      <c r="AR31" s="153">
        <v>1986</v>
      </c>
      <c r="AS31" s="257">
        <f>VALUE(I31)</f>
        <v>0</v>
      </c>
      <c r="AT31" s="5">
        <f>+AA31-AH31</f>
        <v>3.8000000000000003</v>
      </c>
      <c r="AU31" s="5"/>
      <c r="AV31" s="84"/>
      <c r="AW31" s="238">
        <v>26</v>
      </c>
      <c r="AX31" s="227">
        <v>0</v>
      </c>
      <c r="AY31" s="227">
        <v>0</v>
      </c>
      <c r="AZ31" s="227">
        <v>25</v>
      </c>
      <c r="BA31" s="227">
        <v>7</v>
      </c>
      <c r="BB31" s="227">
        <v>25</v>
      </c>
      <c r="BC31" s="226">
        <v>4</v>
      </c>
      <c r="BD31" s="227">
        <v>10</v>
      </c>
      <c r="BE31" s="227">
        <v>10</v>
      </c>
      <c r="BF31" s="226">
        <v>2</v>
      </c>
      <c r="BG31" s="227">
        <v>2</v>
      </c>
      <c r="BH31" s="227">
        <v>2</v>
      </c>
      <c r="BI31" s="226">
        <v>0</v>
      </c>
      <c r="BJ31" s="227">
        <v>2</v>
      </c>
      <c r="BK31" s="227">
        <v>2</v>
      </c>
      <c r="BL31" s="226">
        <v>2</v>
      </c>
      <c r="BM31" s="256" t="s">
        <v>125</v>
      </c>
      <c r="BN31" s="209"/>
      <c r="BO31" s="209">
        <f>VALUE(BR1)</f>
        <v>2018</v>
      </c>
      <c r="BP31" s="1">
        <f>VALUE(BR1)</f>
        <v>2018</v>
      </c>
      <c r="BQ31" s="255" t="s">
        <v>124</v>
      </c>
      <c r="BR31" s="255"/>
      <c r="BS31" s="254"/>
      <c r="BW31" s="171">
        <v>2003</v>
      </c>
      <c r="BX31" s="170">
        <v>-2.4500000000000006</v>
      </c>
      <c r="BY31" s="169">
        <v>28</v>
      </c>
      <c r="BZ31" s="20">
        <v>2000</v>
      </c>
      <c r="CA31" s="222">
        <v>-2.1854838709677415</v>
      </c>
      <c r="CC31" s="171">
        <v>2003</v>
      </c>
      <c r="CD31" s="170">
        <v>-9.0322580645161424E-2</v>
      </c>
      <c r="CE31" s="169">
        <v>28</v>
      </c>
      <c r="CF31" s="20">
        <v>2000</v>
      </c>
      <c r="CG31" s="222">
        <v>0.35483870967741926</v>
      </c>
      <c r="CI31" s="171">
        <v>2003</v>
      </c>
      <c r="CJ31" s="170">
        <v>-5.5032258064516144</v>
      </c>
      <c r="CK31" s="169">
        <v>28</v>
      </c>
      <c r="CL31" s="20">
        <v>2013</v>
      </c>
      <c r="CM31" s="18">
        <v>-5.3129032258064521</v>
      </c>
      <c r="CO31" s="171">
        <v>2003</v>
      </c>
      <c r="CP31" s="170">
        <v>-5.4193548387096779</v>
      </c>
      <c r="CQ31" s="169">
        <v>28</v>
      </c>
      <c r="CR31" s="20">
        <v>1986</v>
      </c>
      <c r="CS31" s="222">
        <v>-6.3677419354838714</v>
      </c>
      <c r="CU31" s="171">
        <v>2003</v>
      </c>
      <c r="CV31" s="170">
        <v>50.499999999999993</v>
      </c>
      <c r="CW31" s="169">
        <v>28</v>
      </c>
      <c r="CX31" s="20">
        <v>1988</v>
      </c>
      <c r="CY31" s="222">
        <v>30</v>
      </c>
    </row>
    <row r="32" spans="1:103" ht="15.4" customHeight="1" thickBot="1" x14ac:dyDescent="0.25">
      <c r="A32" s="163">
        <v>27</v>
      </c>
      <c r="B32" s="245">
        <v>5</v>
      </c>
      <c r="C32" s="245">
        <v>-1.3</v>
      </c>
      <c r="D32" s="245">
        <v>-3.3</v>
      </c>
      <c r="E32" s="245">
        <v>-0.1</v>
      </c>
      <c r="F32" s="245">
        <v>4.4000000000000004</v>
      </c>
      <c r="G32" s="244">
        <v>2.7</v>
      </c>
      <c r="H32" s="167">
        <v>2.4250000000000003</v>
      </c>
      <c r="I32" s="247"/>
      <c r="J32" s="243">
        <v>96</v>
      </c>
      <c r="K32" s="242">
        <v>85</v>
      </c>
      <c r="L32" s="241">
        <v>94</v>
      </c>
      <c r="M32" s="240"/>
      <c r="N32" s="239"/>
      <c r="O32" s="163">
        <v>27</v>
      </c>
      <c r="P32" s="11">
        <v>-1.6047619047619053</v>
      </c>
      <c r="Q32" s="11">
        <v>9</v>
      </c>
      <c r="R32" s="156">
        <v>1983</v>
      </c>
      <c r="S32" s="11">
        <v>-12.925000000000001</v>
      </c>
      <c r="T32" s="156">
        <v>2010</v>
      </c>
      <c r="U32" s="103">
        <f>+H32</f>
        <v>2.4250000000000003</v>
      </c>
      <c r="V32" s="176">
        <v>1.1452380952380949</v>
      </c>
      <c r="W32" s="176">
        <v>11.4</v>
      </c>
      <c r="X32" s="175">
        <v>2016</v>
      </c>
      <c r="Y32" s="176">
        <v>-7.8</v>
      </c>
      <c r="Z32" s="175">
        <v>1996</v>
      </c>
      <c r="AA32" s="103">
        <f>+B32</f>
        <v>5</v>
      </c>
      <c r="AB32" s="158">
        <v>27</v>
      </c>
      <c r="AC32" s="157">
        <v>-5.4904761904761914</v>
      </c>
      <c r="AD32" s="11">
        <v>5.5</v>
      </c>
      <c r="AE32" s="156">
        <v>2016</v>
      </c>
      <c r="AF32" s="11">
        <v>-21.3</v>
      </c>
      <c r="AG32" s="156" t="s">
        <v>123</v>
      </c>
      <c r="AH32" s="103">
        <f>VALUE(C32)</f>
        <v>-1.3</v>
      </c>
      <c r="AI32" s="158">
        <v>27</v>
      </c>
      <c r="AJ32" s="157">
        <v>-6.4904761904761923</v>
      </c>
      <c r="AK32" s="11">
        <v>5.3</v>
      </c>
      <c r="AL32" s="156" t="s">
        <v>98</v>
      </c>
      <c r="AM32" s="11">
        <v>-23.7</v>
      </c>
      <c r="AN32" s="156" t="s">
        <v>123</v>
      </c>
      <c r="AO32" s="103">
        <f>VALUE(D32)</f>
        <v>-3.3</v>
      </c>
      <c r="AP32" s="155">
        <v>1.1000000000000001</v>
      </c>
      <c r="AQ32" s="154">
        <v>10.8</v>
      </c>
      <c r="AR32" s="153">
        <v>2008</v>
      </c>
      <c r="AS32" s="246">
        <f>VALUE(I32)</f>
        <v>0</v>
      </c>
      <c r="AT32" s="5">
        <f>+AA32-AH32</f>
        <v>6.3</v>
      </c>
      <c r="AU32" s="5"/>
      <c r="AV32" s="84"/>
      <c r="AW32" s="238">
        <v>27</v>
      </c>
      <c r="AX32" s="227">
        <v>0</v>
      </c>
      <c r="AY32" s="227">
        <v>0</v>
      </c>
      <c r="AZ32" s="227">
        <v>22</v>
      </c>
      <c r="BA32" s="227">
        <v>4</v>
      </c>
      <c r="BB32" s="227">
        <v>22</v>
      </c>
      <c r="BC32" s="226">
        <v>2</v>
      </c>
      <c r="BD32" s="227">
        <v>9</v>
      </c>
      <c r="BE32" s="227">
        <v>10</v>
      </c>
      <c r="BF32" s="226">
        <v>7</v>
      </c>
      <c r="BG32" s="227">
        <v>2</v>
      </c>
      <c r="BH32" s="227">
        <v>2</v>
      </c>
      <c r="BI32" s="226">
        <v>1</v>
      </c>
      <c r="BJ32" s="227">
        <v>2</v>
      </c>
      <c r="BK32" s="227">
        <v>2</v>
      </c>
      <c r="BL32" s="226">
        <v>2</v>
      </c>
      <c r="BM32" s="237" t="s">
        <v>122</v>
      </c>
      <c r="BN32" s="253"/>
      <c r="BO32" s="253" t="s">
        <v>121</v>
      </c>
      <c r="BP32" s="1" t="s">
        <v>120</v>
      </c>
      <c r="BQ32" s="252" t="s">
        <v>90</v>
      </c>
      <c r="BR32" s="252" t="s">
        <v>37</v>
      </c>
      <c r="BS32" s="251" t="s">
        <v>29</v>
      </c>
      <c r="BW32" s="171">
        <v>2004</v>
      </c>
      <c r="BX32" s="170">
        <v>-3.5419354838709673</v>
      </c>
      <c r="BY32" s="169">
        <v>29</v>
      </c>
      <c r="BZ32" s="20">
        <v>2013</v>
      </c>
      <c r="CA32" s="222">
        <v>-2.4104838709677416</v>
      </c>
      <c r="CC32" s="171">
        <v>2004</v>
      </c>
      <c r="CD32" s="170">
        <v>-1.0451612903225804</v>
      </c>
      <c r="CE32" s="169">
        <v>29</v>
      </c>
      <c r="CF32" s="20">
        <v>2013</v>
      </c>
      <c r="CG32" s="222">
        <v>0.14516129032258071</v>
      </c>
      <c r="CI32" s="171">
        <v>2004</v>
      </c>
      <c r="CJ32" s="170">
        <v>-6.4129032258064518</v>
      </c>
      <c r="CK32" s="169">
        <v>29</v>
      </c>
      <c r="CL32" s="20">
        <v>2003</v>
      </c>
      <c r="CM32" s="18">
        <v>-5.5032258064516144</v>
      </c>
      <c r="CO32" s="171">
        <v>2004</v>
      </c>
      <c r="CP32" s="170">
        <v>-6.7838709677419349</v>
      </c>
      <c r="CQ32" s="169">
        <v>29</v>
      </c>
      <c r="CR32" s="20">
        <v>1976</v>
      </c>
      <c r="CS32" s="222">
        <v>-6.387096774193548</v>
      </c>
      <c r="CU32" s="171">
        <v>2004</v>
      </c>
      <c r="CV32" s="170">
        <v>34.9</v>
      </c>
      <c r="CW32" s="169">
        <v>29</v>
      </c>
      <c r="CX32" s="20">
        <v>1992</v>
      </c>
      <c r="CY32" s="222">
        <v>29.5</v>
      </c>
    </row>
    <row r="33" spans="1:103" ht="15.4" customHeight="1" x14ac:dyDescent="0.2">
      <c r="A33" s="163">
        <v>28</v>
      </c>
      <c r="B33" s="245">
        <v>7.1</v>
      </c>
      <c r="C33" s="245">
        <v>1.6</v>
      </c>
      <c r="D33" s="245">
        <v>-0.5</v>
      </c>
      <c r="E33" s="245">
        <v>2</v>
      </c>
      <c r="F33" s="245">
        <v>6.1</v>
      </c>
      <c r="G33" s="244">
        <v>6.1</v>
      </c>
      <c r="H33" s="167">
        <v>5.0749999999999993</v>
      </c>
      <c r="I33" s="247">
        <v>1.2</v>
      </c>
      <c r="J33" s="243">
        <v>84</v>
      </c>
      <c r="K33" s="242">
        <v>76</v>
      </c>
      <c r="L33" s="241">
        <v>83</v>
      </c>
      <c r="M33" s="240"/>
      <c r="N33" s="239"/>
      <c r="O33" s="163">
        <v>28</v>
      </c>
      <c r="P33" s="11">
        <v>-1.6869047619047615</v>
      </c>
      <c r="Q33" s="11">
        <v>10.5</v>
      </c>
      <c r="R33" s="156">
        <v>2002</v>
      </c>
      <c r="S33" s="11">
        <v>-15.45</v>
      </c>
      <c r="T33" s="156">
        <v>2005</v>
      </c>
      <c r="U33" s="103">
        <f>+H33</f>
        <v>5.0749999999999993</v>
      </c>
      <c r="V33" s="176">
        <v>1.5357142857142854</v>
      </c>
      <c r="W33" s="176">
        <v>12.9</v>
      </c>
      <c r="X33" s="175">
        <v>2016</v>
      </c>
      <c r="Y33" s="176">
        <v>-7</v>
      </c>
      <c r="Z33" s="175">
        <v>1976</v>
      </c>
      <c r="AA33" s="103">
        <f>+B33</f>
        <v>7.1</v>
      </c>
      <c r="AB33" s="158">
        <v>28</v>
      </c>
      <c r="AC33" s="157">
        <v>-5.5833333333333348</v>
      </c>
      <c r="AD33" s="11">
        <v>5.1000000000000005</v>
      </c>
      <c r="AE33" s="156" t="s">
        <v>104</v>
      </c>
      <c r="AF33" s="11">
        <v>-18.8</v>
      </c>
      <c r="AG33" s="156" t="s">
        <v>118</v>
      </c>
      <c r="AH33" s="103">
        <f>VALUE(C33)</f>
        <v>1.6</v>
      </c>
      <c r="AI33" s="158">
        <v>28</v>
      </c>
      <c r="AJ33" s="157">
        <v>-5.916666666666667</v>
      </c>
      <c r="AK33" s="11">
        <v>6</v>
      </c>
      <c r="AL33" s="156" t="s">
        <v>104</v>
      </c>
      <c r="AM33" s="11">
        <v>-19.399999999999999</v>
      </c>
      <c r="AN33" s="156" t="s">
        <v>118</v>
      </c>
      <c r="AO33" s="103">
        <f>VALUE(D33)</f>
        <v>-0.5</v>
      </c>
      <c r="AP33" s="155">
        <v>1.3325</v>
      </c>
      <c r="AQ33" s="154">
        <v>10.5</v>
      </c>
      <c r="AR33" s="153">
        <v>1979</v>
      </c>
      <c r="AS33" s="246">
        <f>VALUE(I33)</f>
        <v>1.2</v>
      </c>
      <c r="AT33" s="5">
        <f>+AA33-AH33</f>
        <v>5.5</v>
      </c>
      <c r="AU33" s="5"/>
      <c r="AV33" s="84"/>
      <c r="AW33" s="238">
        <v>28</v>
      </c>
      <c r="AX33" s="227">
        <v>18</v>
      </c>
      <c r="AY33" s="227">
        <v>7</v>
      </c>
      <c r="AZ33" s="227">
        <v>18</v>
      </c>
      <c r="BA33" s="227">
        <v>4</v>
      </c>
      <c r="BB33" s="227">
        <v>20</v>
      </c>
      <c r="BC33" s="226">
        <v>4</v>
      </c>
      <c r="BD33" s="227">
        <v>7</v>
      </c>
      <c r="BE33" s="227">
        <v>10</v>
      </c>
      <c r="BF33" s="226">
        <v>9</v>
      </c>
      <c r="BG33" s="227">
        <v>1</v>
      </c>
      <c r="BH33" s="227">
        <v>2</v>
      </c>
      <c r="BI33" s="226">
        <v>2</v>
      </c>
      <c r="BJ33" s="227">
        <v>2</v>
      </c>
      <c r="BK33" s="227">
        <v>2</v>
      </c>
      <c r="BL33" s="226">
        <v>2</v>
      </c>
      <c r="BM33" s="237"/>
      <c r="BN33" s="250" t="s">
        <v>119</v>
      </c>
      <c r="BO33" s="249">
        <f>VALUE(U56)</f>
        <v>91.499999999999986</v>
      </c>
      <c r="BP33" s="249">
        <f>VALUE(BO33)</f>
        <v>91.499999999999986</v>
      </c>
      <c r="BQ33" s="249">
        <v>45.213750000000005</v>
      </c>
      <c r="BR33" s="249">
        <v>134.14999999999998</v>
      </c>
      <c r="BS33" s="248">
        <v>1.8499999999999999</v>
      </c>
      <c r="BW33" s="171">
        <v>2005</v>
      </c>
      <c r="BX33" s="170">
        <v>-0.35967741935483871</v>
      </c>
      <c r="BY33" s="169">
        <v>30</v>
      </c>
      <c r="BZ33" s="20">
        <v>2003</v>
      </c>
      <c r="CA33" s="222">
        <v>-2.4500000000000006</v>
      </c>
      <c r="CC33" s="171">
        <v>2005</v>
      </c>
      <c r="CD33" s="170">
        <v>2.6709677419354843</v>
      </c>
      <c r="CE33" s="169">
        <v>30</v>
      </c>
      <c r="CF33" s="20">
        <v>2003</v>
      </c>
      <c r="CG33" s="222">
        <v>-9.0322580645161424E-2</v>
      </c>
      <c r="CI33" s="171">
        <v>2005</v>
      </c>
      <c r="CJ33" s="170">
        <v>-3.9129032258064522</v>
      </c>
      <c r="CK33" s="169">
        <v>30</v>
      </c>
      <c r="CL33" s="20">
        <v>2004</v>
      </c>
      <c r="CM33" s="18">
        <v>-6.4129032258064518</v>
      </c>
      <c r="CO33" s="171">
        <v>2005</v>
      </c>
      <c r="CP33" s="170">
        <v>-4.6258064516129025</v>
      </c>
      <c r="CQ33" s="169">
        <v>30</v>
      </c>
      <c r="CR33" s="20">
        <v>2004</v>
      </c>
      <c r="CS33" s="222">
        <v>-6.7838709677419349</v>
      </c>
      <c r="CU33" s="171">
        <v>2005</v>
      </c>
      <c r="CV33" s="170">
        <v>53.2</v>
      </c>
      <c r="CW33" s="169">
        <v>30</v>
      </c>
      <c r="CX33" s="20">
        <v>1999</v>
      </c>
      <c r="CY33" s="172">
        <v>25.400000000000002</v>
      </c>
    </row>
    <row r="34" spans="1:103" ht="15.4" customHeight="1" x14ac:dyDescent="0.2">
      <c r="A34" s="163">
        <v>29</v>
      </c>
      <c r="B34" s="245">
        <v>9.5</v>
      </c>
      <c r="C34" s="245">
        <v>5</v>
      </c>
      <c r="D34" s="245">
        <v>4.7</v>
      </c>
      <c r="E34" s="245">
        <v>6.4</v>
      </c>
      <c r="F34" s="245">
        <v>9.1999999999999993</v>
      </c>
      <c r="G34" s="244">
        <v>8.1999999999999993</v>
      </c>
      <c r="H34" s="167">
        <v>7.9999999999999991</v>
      </c>
      <c r="I34" s="247">
        <v>0.7</v>
      </c>
      <c r="J34" s="243">
        <v>89</v>
      </c>
      <c r="K34" s="242">
        <v>78</v>
      </c>
      <c r="L34" s="241">
        <v>76</v>
      </c>
      <c r="M34" s="240"/>
      <c r="N34" s="239"/>
      <c r="O34" s="163">
        <v>29</v>
      </c>
      <c r="P34" s="11">
        <v>-1.6946428571428571</v>
      </c>
      <c r="Q34" s="11">
        <v>9.5250000000000004</v>
      </c>
      <c r="R34" s="156">
        <v>2002</v>
      </c>
      <c r="S34" s="11">
        <v>-12.1</v>
      </c>
      <c r="T34" s="156">
        <v>1987</v>
      </c>
      <c r="U34" s="103">
        <f>+H34</f>
        <v>7.9999999999999991</v>
      </c>
      <c r="V34" s="176">
        <v>1.3095238095238095</v>
      </c>
      <c r="W34" s="176">
        <v>13.5</v>
      </c>
      <c r="X34" s="175">
        <v>2002</v>
      </c>
      <c r="Y34" s="176">
        <v>-8.1999999999999993</v>
      </c>
      <c r="Z34" s="175">
        <v>1976</v>
      </c>
      <c r="AA34" s="103">
        <f>+B34</f>
        <v>9.5</v>
      </c>
      <c r="AB34" s="158">
        <v>29</v>
      </c>
      <c r="AC34" s="157">
        <v>-5.576190476190475</v>
      </c>
      <c r="AD34" s="11">
        <v>5</v>
      </c>
      <c r="AE34" s="156" t="s">
        <v>104</v>
      </c>
      <c r="AF34" s="11">
        <v>-21.2</v>
      </c>
      <c r="AG34" s="156" t="s">
        <v>118</v>
      </c>
      <c r="AH34" s="103">
        <f>VALUE(C34)</f>
        <v>5</v>
      </c>
      <c r="AI34" s="158">
        <v>29</v>
      </c>
      <c r="AJ34" s="157">
        <v>-5.9714285714285706</v>
      </c>
      <c r="AK34" s="11">
        <v>4.8</v>
      </c>
      <c r="AL34" s="156" t="s">
        <v>104</v>
      </c>
      <c r="AM34" s="11">
        <v>-24.8</v>
      </c>
      <c r="AN34" s="156" t="s">
        <v>118</v>
      </c>
      <c r="AO34" s="103">
        <f>VALUE(D34)</f>
        <v>4.7</v>
      </c>
      <c r="AP34" s="155">
        <v>1.6274999999999999</v>
      </c>
      <c r="AQ34" s="154">
        <v>13.1</v>
      </c>
      <c r="AR34" s="153">
        <v>1979</v>
      </c>
      <c r="AS34" s="246">
        <f>VALUE(I34)</f>
        <v>0.7</v>
      </c>
      <c r="AT34" s="5">
        <f>+AA34-AH34</f>
        <v>4.5</v>
      </c>
      <c r="AU34" s="5"/>
      <c r="AV34" s="84"/>
      <c r="AW34" s="238">
        <v>29</v>
      </c>
      <c r="AX34" s="227">
        <v>22</v>
      </c>
      <c r="AY34" s="227">
        <v>7</v>
      </c>
      <c r="AZ34" s="227">
        <v>22</v>
      </c>
      <c r="BA34" s="227">
        <v>7</v>
      </c>
      <c r="BB34" s="227">
        <v>22</v>
      </c>
      <c r="BC34" s="226">
        <v>7</v>
      </c>
      <c r="BD34" s="227">
        <v>10</v>
      </c>
      <c r="BE34" s="227">
        <v>7</v>
      </c>
      <c r="BF34" s="226">
        <v>4</v>
      </c>
      <c r="BG34" s="227">
        <v>2</v>
      </c>
      <c r="BH34" s="227">
        <v>1</v>
      </c>
      <c r="BI34" s="226">
        <v>1</v>
      </c>
      <c r="BJ34" s="227">
        <v>2</v>
      </c>
      <c r="BK34" s="227">
        <v>2</v>
      </c>
      <c r="BL34" s="226">
        <v>2</v>
      </c>
      <c r="BM34" s="237"/>
      <c r="BN34" s="236" t="s">
        <v>117</v>
      </c>
      <c r="BO34" s="68">
        <f>VALUE(U57)</f>
        <v>7.8249999999999886</v>
      </c>
      <c r="BP34" s="68">
        <f>VALUE(BO34)</f>
        <v>7.8249999999999886</v>
      </c>
      <c r="BQ34" s="68">
        <v>15.591249999999999</v>
      </c>
      <c r="BR34" s="68">
        <v>66.825000000000003</v>
      </c>
      <c r="BS34" s="65">
        <v>0</v>
      </c>
      <c r="BW34" s="171">
        <v>2006</v>
      </c>
      <c r="BX34" s="170">
        <v>-6.625</v>
      </c>
      <c r="BY34" s="169">
        <v>31</v>
      </c>
      <c r="BZ34" s="20">
        <v>2009</v>
      </c>
      <c r="CA34" s="222">
        <v>-3.3209677419354828</v>
      </c>
      <c r="CC34" s="171">
        <v>2006</v>
      </c>
      <c r="CD34" s="170">
        <v>-2.1225806451612899</v>
      </c>
      <c r="CE34" s="169">
        <v>31</v>
      </c>
      <c r="CF34" s="20">
        <v>2009</v>
      </c>
      <c r="CG34" s="222">
        <v>-0.70967741935483919</v>
      </c>
      <c r="CI34" s="171">
        <v>2006</v>
      </c>
      <c r="CJ34" s="170">
        <v>-10.441935483870967</v>
      </c>
      <c r="CK34" s="169">
        <v>31</v>
      </c>
      <c r="CL34" s="20">
        <v>2009</v>
      </c>
      <c r="CM34" s="18">
        <v>-6.4999999999999991</v>
      </c>
      <c r="CO34" s="171">
        <v>2006</v>
      </c>
      <c r="CP34" s="170">
        <v>-10.845161290322581</v>
      </c>
      <c r="CQ34" s="169">
        <v>31</v>
      </c>
      <c r="CR34" s="20">
        <v>2009</v>
      </c>
      <c r="CS34" s="222">
        <v>-7.2870967741935475</v>
      </c>
      <c r="CU34" s="171">
        <v>2006</v>
      </c>
      <c r="CV34" s="170">
        <v>40.699999999999996</v>
      </c>
      <c r="CW34" s="169">
        <v>31</v>
      </c>
      <c r="CX34" s="20">
        <v>1993</v>
      </c>
      <c r="CY34" s="172">
        <v>25.099999999999998</v>
      </c>
    </row>
    <row r="35" spans="1:103" ht="15.4" customHeight="1" x14ac:dyDescent="0.2">
      <c r="A35" s="163">
        <v>30</v>
      </c>
      <c r="B35" s="245">
        <v>8.5</v>
      </c>
      <c r="C35" s="245">
        <v>-2</v>
      </c>
      <c r="D35" s="245">
        <v>2.2999999999999998</v>
      </c>
      <c r="E35" s="245">
        <v>5.2</v>
      </c>
      <c r="F35" s="245">
        <v>6</v>
      </c>
      <c r="G35" s="244">
        <v>-0.6</v>
      </c>
      <c r="H35" s="167">
        <v>2.5</v>
      </c>
      <c r="I35" s="167"/>
      <c r="J35" s="243">
        <v>77</v>
      </c>
      <c r="K35" s="242">
        <v>56</v>
      </c>
      <c r="L35" s="241">
        <v>81</v>
      </c>
      <c r="M35" s="240"/>
      <c r="N35" s="239"/>
      <c r="O35" s="163">
        <v>30</v>
      </c>
      <c r="P35" s="11">
        <v>-1.6934523809523807</v>
      </c>
      <c r="Q35" s="11">
        <v>8.9</v>
      </c>
      <c r="R35" s="156">
        <v>2002</v>
      </c>
      <c r="S35" s="11">
        <v>-18.2</v>
      </c>
      <c r="T35" s="156">
        <v>1987</v>
      </c>
      <c r="U35" s="103">
        <f>+H35</f>
        <v>2.5</v>
      </c>
      <c r="V35" s="176">
        <v>1.3404761904761902</v>
      </c>
      <c r="W35" s="176">
        <v>10.8</v>
      </c>
      <c r="X35" s="175">
        <v>1990</v>
      </c>
      <c r="Y35" s="176">
        <v>-8.9</v>
      </c>
      <c r="Z35" s="175">
        <v>1987</v>
      </c>
      <c r="AA35" s="103">
        <f>+B35</f>
        <v>8.5</v>
      </c>
      <c r="AB35" s="158">
        <v>30</v>
      </c>
      <c r="AC35" s="157">
        <v>-6.0642857142857149</v>
      </c>
      <c r="AD35" s="11">
        <v>4.7</v>
      </c>
      <c r="AE35" s="156">
        <v>2016</v>
      </c>
      <c r="AF35" s="11">
        <v>-24</v>
      </c>
      <c r="AG35" s="156" t="s">
        <v>93</v>
      </c>
      <c r="AH35" s="103">
        <f>VALUE(C35)</f>
        <v>-2</v>
      </c>
      <c r="AI35" s="158">
        <v>30</v>
      </c>
      <c r="AJ35" s="157">
        <v>-6.345238095238094</v>
      </c>
      <c r="AK35" s="11">
        <v>5.8</v>
      </c>
      <c r="AL35" s="156" t="s">
        <v>111</v>
      </c>
      <c r="AM35" s="11">
        <v>-22.2</v>
      </c>
      <c r="AN35" s="156" t="s">
        <v>116</v>
      </c>
      <c r="AO35" s="103">
        <f>VALUE(D35)</f>
        <v>2.2999999999999998</v>
      </c>
      <c r="AP35" s="155">
        <v>1.6649999999999998</v>
      </c>
      <c r="AQ35" s="154">
        <v>15.8</v>
      </c>
      <c r="AR35" s="153">
        <v>1988</v>
      </c>
      <c r="AS35" s="152">
        <f>VALUE(I35)</f>
        <v>0</v>
      </c>
      <c r="AT35" s="5">
        <f>+AA35-AH35</f>
        <v>10.5</v>
      </c>
      <c r="AU35" s="5"/>
      <c r="AV35" s="84"/>
      <c r="AW35" s="238">
        <v>30</v>
      </c>
      <c r="AX35" s="227">
        <v>22</v>
      </c>
      <c r="AY35" s="227">
        <v>4</v>
      </c>
      <c r="AZ35" s="227">
        <v>22</v>
      </c>
      <c r="BA35" s="227">
        <v>7</v>
      </c>
      <c r="BB35" s="227">
        <v>22</v>
      </c>
      <c r="BC35" s="226">
        <v>2</v>
      </c>
      <c r="BD35" s="227">
        <v>6</v>
      </c>
      <c r="BE35" s="227">
        <v>2</v>
      </c>
      <c r="BF35" s="226">
        <v>2</v>
      </c>
      <c r="BG35" s="227">
        <v>1</v>
      </c>
      <c r="BH35" s="227">
        <v>0</v>
      </c>
      <c r="BI35" s="226">
        <v>0</v>
      </c>
      <c r="BJ35" s="227">
        <v>2</v>
      </c>
      <c r="BK35" s="227">
        <v>2</v>
      </c>
      <c r="BL35" s="226">
        <v>2</v>
      </c>
      <c r="BM35" s="237"/>
      <c r="BN35" s="236" t="s">
        <v>115</v>
      </c>
      <c r="BO35" s="68">
        <f>VALUE(U58)</f>
        <v>9.8249999999999886</v>
      </c>
      <c r="BP35" s="68">
        <f>VALUE(BO35)</f>
        <v>9.8249999999999886</v>
      </c>
      <c r="BQ35" s="68">
        <v>6.1374999999999984</v>
      </c>
      <c r="BR35" s="68">
        <v>33.174999999999997</v>
      </c>
      <c r="BS35" s="65">
        <v>0</v>
      </c>
      <c r="BW35" s="171">
        <v>2007</v>
      </c>
      <c r="BX35" s="170">
        <v>3.6403225806451602</v>
      </c>
      <c r="BY35" s="169">
        <v>32</v>
      </c>
      <c r="BZ35" s="20">
        <v>2004</v>
      </c>
      <c r="CA35" s="222">
        <v>-3.5419354838709673</v>
      </c>
      <c r="CC35" s="171">
        <v>2007</v>
      </c>
      <c r="CD35" s="170">
        <v>6.3129032258064504</v>
      </c>
      <c r="CE35" s="169">
        <v>32</v>
      </c>
      <c r="CF35" s="20">
        <v>1981</v>
      </c>
      <c r="CG35" s="172">
        <v>-0.91290322580645167</v>
      </c>
      <c r="CI35" s="171">
        <v>2007</v>
      </c>
      <c r="CJ35" s="170">
        <v>0.98064516129032198</v>
      </c>
      <c r="CK35" s="169">
        <v>32</v>
      </c>
      <c r="CL35" s="20">
        <v>1993</v>
      </c>
      <c r="CM35" s="172">
        <v>-7.4161290322580644</v>
      </c>
      <c r="CO35" s="171">
        <v>2007</v>
      </c>
      <c r="CP35" s="170">
        <v>-0.20000000000000004</v>
      </c>
      <c r="CQ35" s="169">
        <v>32</v>
      </c>
      <c r="CR35" s="20">
        <v>1993</v>
      </c>
      <c r="CS35" s="222">
        <v>-7.4161290322580644</v>
      </c>
      <c r="CU35" s="171">
        <v>2007</v>
      </c>
      <c r="CV35" s="170">
        <v>68.400000000000006</v>
      </c>
      <c r="CW35" s="169">
        <v>32</v>
      </c>
      <c r="CX35" s="20">
        <v>1994</v>
      </c>
      <c r="CY35" s="172">
        <v>24.3</v>
      </c>
    </row>
    <row r="36" spans="1:103" ht="15.4" customHeight="1" thickBot="1" x14ac:dyDescent="0.25">
      <c r="A36" s="86">
        <v>31</v>
      </c>
      <c r="B36" s="235">
        <v>5.5</v>
      </c>
      <c r="C36" s="235">
        <v>-4.9000000000000004</v>
      </c>
      <c r="D36" s="235">
        <v>-7.6</v>
      </c>
      <c r="E36" s="235">
        <v>-0.3</v>
      </c>
      <c r="F36" s="235">
        <v>5</v>
      </c>
      <c r="G36" s="234">
        <v>4.5</v>
      </c>
      <c r="H36" s="198">
        <v>3.4249999999999998</v>
      </c>
      <c r="I36" s="198"/>
      <c r="J36" s="233">
        <v>79</v>
      </c>
      <c r="K36" s="232">
        <v>68</v>
      </c>
      <c r="L36" s="231">
        <v>70</v>
      </c>
      <c r="M36" s="230"/>
      <c r="N36" s="229"/>
      <c r="O36" s="163">
        <v>31</v>
      </c>
      <c r="P36" s="11">
        <v>-1.6499999999999997</v>
      </c>
      <c r="Q36" s="11">
        <v>8.1</v>
      </c>
      <c r="R36" s="156">
        <v>1990</v>
      </c>
      <c r="S36" s="11">
        <v>-16.7</v>
      </c>
      <c r="T36" s="156">
        <v>1991</v>
      </c>
      <c r="U36" s="103">
        <f>+H36</f>
        <v>3.4249999999999998</v>
      </c>
      <c r="V36" s="176">
        <v>1.2714285714285718</v>
      </c>
      <c r="W36" s="176">
        <v>11.4</v>
      </c>
      <c r="X36" s="175">
        <v>1990</v>
      </c>
      <c r="Y36" s="176">
        <v>-9.1999999999999993</v>
      </c>
      <c r="Z36" s="175">
        <v>1991</v>
      </c>
      <c r="AA36" s="159">
        <f>+B36</f>
        <v>5.5</v>
      </c>
      <c r="AB36" s="158">
        <v>31</v>
      </c>
      <c r="AC36" s="157">
        <v>-6.1238095238095251</v>
      </c>
      <c r="AD36" s="11">
        <v>4.4000000000000004</v>
      </c>
      <c r="AE36" s="156" t="s">
        <v>114</v>
      </c>
      <c r="AF36" s="11">
        <v>-24</v>
      </c>
      <c r="AG36" s="156" t="s">
        <v>93</v>
      </c>
      <c r="AH36" s="159">
        <f>VALUE(C36)</f>
        <v>-4.9000000000000004</v>
      </c>
      <c r="AI36" s="158">
        <v>31</v>
      </c>
      <c r="AJ36" s="157">
        <v>-6.8785714285714281</v>
      </c>
      <c r="AK36" s="11">
        <v>4.2</v>
      </c>
      <c r="AL36" s="156" t="s">
        <v>98</v>
      </c>
      <c r="AM36" s="11">
        <v>-26.8</v>
      </c>
      <c r="AN36" s="156" t="s">
        <v>93</v>
      </c>
      <c r="AO36" s="103">
        <f>VALUE(D36)</f>
        <v>-7.6</v>
      </c>
      <c r="AP36" s="155">
        <v>1.105</v>
      </c>
      <c r="AQ36" s="154">
        <v>8.5</v>
      </c>
      <c r="AR36" s="153">
        <v>2017</v>
      </c>
      <c r="AS36" s="189">
        <f>VALUE(I36)</f>
        <v>0</v>
      </c>
      <c r="AT36" s="5">
        <f>+AA36-AH36</f>
        <v>10.4</v>
      </c>
      <c r="AU36" s="5"/>
      <c r="AV36" s="84"/>
      <c r="AW36" s="228">
        <v>31</v>
      </c>
      <c r="AX36" s="227">
        <v>22</v>
      </c>
      <c r="AY36" s="227">
        <v>2</v>
      </c>
      <c r="AZ36" s="227">
        <v>22</v>
      </c>
      <c r="BA36" s="227">
        <v>7</v>
      </c>
      <c r="BB36" s="227">
        <v>20</v>
      </c>
      <c r="BC36" s="226">
        <v>12</v>
      </c>
      <c r="BD36" s="227">
        <v>6</v>
      </c>
      <c r="BE36" s="227">
        <v>2</v>
      </c>
      <c r="BF36" s="226">
        <v>7</v>
      </c>
      <c r="BG36" s="227">
        <v>1</v>
      </c>
      <c r="BH36" s="227">
        <v>0</v>
      </c>
      <c r="BI36" s="226">
        <v>1</v>
      </c>
      <c r="BJ36" s="227">
        <v>3</v>
      </c>
      <c r="BK36" s="227">
        <v>2</v>
      </c>
      <c r="BL36" s="226">
        <v>2</v>
      </c>
      <c r="BM36" s="225"/>
      <c r="BN36" s="224" t="s">
        <v>113</v>
      </c>
      <c r="BO36" s="55">
        <f>VALUE(U59)</f>
        <v>0</v>
      </c>
      <c r="BP36" s="55">
        <f>VALUE(BO36)</f>
        <v>0</v>
      </c>
      <c r="BQ36" s="55">
        <v>5.4374999999999972E-2</v>
      </c>
      <c r="BR36" s="55">
        <v>1.0999999999999996</v>
      </c>
      <c r="BS36" s="223">
        <v>0</v>
      </c>
      <c r="BW36" s="171">
        <v>2008</v>
      </c>
      <c r="BX36" s="170">
        <v>2.3524193548387107</v>
      </c>
      <c r="BY36" s="169">
        <v>33</v>
      </c>
      <c r="BZ36" s="20">
        <v>1981</v>
      </c>
      <c r="CA36" s="172">
        <v>-4.064516129032258</v>
      </c>
      <c r="CC36" s="171">
        <v>2008</v>
      </c>
      <c r="CD36" s="170">
        <v>5.0225806451612893</v>
      </c>
      <c r="CE36" s="169">
        <v>33</v>
      </c>
      <c r="CF36" s="20">
        <v>2004</v>
      </c>
      <c r="CG36" s="172">
        <v>-1.0451612903225804</v>
      </c>
      <c r="CI36" s="171">
        <v>2008</v>
      </c>
      <c r="CJ36" s="170">
        <v>-0.99999999999999989</v>
      </c>
      <c r="CK36" s="169">
        <v>33</v>
      </c>
      <c r="CL36" s="20">
        <v>1981</v>
      </c>
      <c r="CM36" s="172">
        <v>-7.848387096774192</v>
      </c>
      <c r="CO36" s="171">
        <v>2008</v>
      </c>
      <c r="CP36" s="170">
        <v>-1.0225806451612904</v>
      </c>
      <c r="CQ36" s="169">
        <v>33</v>
      </c>
      <c r="CR36" s="20">
        <v>1980</v>
      </c>
      <c r="CS36" s="222">
        <v>-7.8290322580645171</v>
      </c>
      <c r="CU36" s="171">
        <v>2008</v>
      </c>
      <c r="CV36" s="170">
        <v>44.1</v>
      </c>
      <c r="CW36" s="169">
        <v>33</v>
      </c>
      <c r="CX36" s="20">
        <v>2014</v>
      </c>
      <c r="CY36" s="172">
        <v>23.100000000000005</v>
      </c>
    </row>
    <row r="37" spans="1:103" ht="15.4" customHeight="1" thickBot="1" x14ac:dyDescent="0.25">
      <c r="A37" s="186" t="s">
        <v>112</v>
      </c>
      <c r="B37" s="5">
        <f>AVERAGE(B6:B10)</f>
        <v>7.38</v>
      </c>
      <c r="C37" s="5">
        <f>AVERAGE(C6:C10)</f>
        <v>1.9799999999999998</v>
      </c>
      <c r="D37" s="11">
        <f>AVERAGE(D6:D10)</f>
        <v>-0.38</v>
      </c>
      <c r="E37" s="5">
        <f>AVERAGE(E6:E10)</f>
        <v>4.2</v>
      </c>
      <c r="F37" s="11">
        <f>AVERAGE(F6:F10)</f>
        <v>5.6</v>
      </c>
      <c r="G37" s="5">
        <f>AVERAGE(G6:G10)</f>
        <v>4.6599999999999993</v>
      </c>
      <c r="H37" s="167">
        <f>AVERAGE(H6:H10)</f>
        <v>4.7799999999999994</v>
      </c>
      <c r="I37" s="167">
        <f>SUM(I6:I10)</f>
        <v>2</v>
      </c>
      <c r="J37" s="166">
        <f>AVERAGE(J6:J10)</f>
        <v>83.4</v>
      </c>
      <c r="K37" s="165">
        <f>AVERAGE(K6:K10)</f>
        <v>77.8</v>
      </c>
      <c r="L37" s="165">
        <f>AVERAGE(L6:L10)</f>
        <v>79.400000000000006</v>
      </c>
      <c r="M37" s="221">
        <f>SUM(M6:M10)</f>
        <v>0</v>
      </c>
      <c r="N37" s="185" t="e">
        <f>AVERAGE(N6:N10)</f>
        <v>#DIV/0!</v>
      </c>
      <c r="O37" s="91" t="s">
        <v>112</v>
      </c>
      <c r="P37" s="59">
        <v>-1.5735714285714291</v>
      </c>
      <c r="Q37" s="59">
        <v>6.08</v>
      </c>
      <c r="R37" s="215">
        <v>1988</v>
      </c>
      <c r="S37" s="59">
        <v>-13.14</v>
      </c>
      <c r="T37" s="215">
        <v>1993</v>
      </c>
      <c r="U37" s="184">
        <f>AVERAGE(U6:U10)</f>
        <v>4.7799999999999994</v>
      </c>
      <c r="V37" s="220">
        <v>1.2585714285714285</v>
      </c>
      <c r="W37" s="219">
        <v>8.42</v>
      </c>
      <c r="X37" s="218">
        <v>2014</v>
      </c>
      <c r="Y37" s="219">
        <v>-8.84</v>
      </c>
      <c r="Z37" s="218">
        <v>1997</v>
      </c>
      <c r="AA37" s="103">
        <f>AVERAGE(AA6:AA10)</f>
        <v>7.38</v>
      </c>
      <c r="AB37" s="217" t="s">
        <v>110</v>
      </c>
      <c r="AC37" s="216">
        <v>-5.0209523809523784</v>
      </c>
      <c r="AD37" s="59">
        <v>4.18</v>
      </c>
      <c r="AE37" s="215" t="s">
        <v>111</v>
      </c>
      <c r="AF37" s="59">
        <v>-19.660000000000004</v>
      </c>
      <c r="AG37" s="215" t="s">
        <v>108</v>
      </c>
      <c r="AH37" s="103">
        <f>AVERAGE(AH6:AH10)</f>
        <v>1.9799999999999998</v>
      </c>
      <c r="AI37" s="217" t="s">
        <v>110</v>
      </c>
      <c r="AJ37" s="216">
        <v>-5.6742857142857144</v>
      </c>
      <c r="AK37" s="59">
        <v>2</v>
      </c>
      <c r="AL37" s="215" t="s">
        <v>109</v>
      </c>
      <c r="AM37" s="59">
        <v>-19.660000000000004</v>
      </c>
      <c r="AN37" s="215" t="s">
        <v>108</v>
      </c>
      <c r="AO37" s="184">
        <f>AVERAGE(AO6:AO10)</f>
        <v>-0.38</v>
      </c>
      <c r="AP37" s="214">
        <v>7.9249999999999989</v>
      </c>
      <c r="AQ37" s="213">
        <v>31.9</v>
      </c>
      <c r="AR37" s="212">
        <v>2006</v>
      </c>
      <c r="AS37" s="152">
        <f>SUM(AS6:AS10)</f>
        <v>2</v>
      </c>
      <c r="BM37" s="211" t="s">
        <v>107</v>
      </c>
      <c r="BN37"/>
      <c r="BO37"/>
      <c r="BP37"/>
      <c r="BQ37"/>
      <c r="BR37"/>
      <c r="BS37"/>
      <c r="BW37" s="171">
        <v>2009</v>
      </c>
      <c r="BX37" s="170">
        <v>-3.3209677419354828</v>
      </c>
      <c r="BY37" s="169">
        <v>34</v>
      </c>
      <c r="BZ37" s="20">
        <v>1980</v>
      </c>
      <c r="CA37" s="172">
        <v>-4.4709677419354836</v>
      </c>
      <c r="CC37" s="171">
        <v>2009</v>
      </c>
      <c r="CD37" s="170">
        <v>-0.70967741935483919</v>
      </c>
      <c r="CE37" s="169">
        <v>34</v>
      </c>
      <c r="CF37" s="20">
        <v>1982</v>
      </c>
      <c r="CG37" s="172">
        <v>-1.232258064516129</v>
      </c>
      <c r="CI37" s="171">
        <v>2009</v>
      </c>
      <c r="CJ37" s="170">
        <v>-6.4999999999999991</v>
      </c>
      <c r="CK37" s="169">
        <v>34</v>
      </c>
      <c r="CL37" s="20">
        <v>1996</v>
      </c>
      <c r="CM37" s="172">
        <v>-7.8870967741935489</v>
      </c>
      <c r="CO37" s="171">
        <v>2009</v>
      </c>
      <c r="CP37" s="170">
        <v>-7.2870967741935475</v>
      </c>
      <c r="CQ37" s="169">
        <v>34</v>
      </c>
      <c r="CR37" s="20">
        <v>1982</v>
      </c>
      <c r="CS37" s="172">
        <v>-8.6903225806451623</v>
      </c>
      <c r="CU37" s="171">
        <v>2009</v>
      </c>
      <c r="CV37" s="170">
        <v>38.6</v>
      </c>
      <c r="CW37" s="169">
        <v>34</v>
      </c>
      <c r="CX37" s="20">
        <v>1997</v>
      </c>
      <c r="CY37" s="168">
        <v>22.599999999999998</v>
      </c>
    </row>
    <row r="38" spans="1:103" ht="15.4" customHeight="1" x14ac:dyDescent="0.2">
      <c r="A38" s="163">
        <v>2</v>
      </c>
      <c r="B38" s="5">
        <f>AVERAGE(B11:B15)</f>
        <v>9.1</v>
      </c>
      <c r="C38" s="5">
        <f>AVERAGE(C11:C15)</f>
        <v>2.44</v>
      </c>
      <c r="D38" s="11">
        <f>AVERAGE(D11:D15)</f>
        <v>2.4</v>
      </c>
      <c r="E38" s="5">
        <f>AVERAGE(E11:E15)</f>
        <v>4.4400000000000004</v>
      </c>
      <c r="F38" s="11">
        <f>AVERAGE(F11:F15)</f>
        <v>4.8400000000000007</v>
      </c>
      <c r="G38" s="5">
        <f>AVERAGE(G11:G15)</f>
        <v>5.26</v>
      </c>
      <c r="H38" s="167">
        <f>AVERAGE(H11:H15)</f>
        <v>4.95</v>
      </c>
      <c r="I38" s="167">
        <f>SUM(I11:I15)</f>
        <v>18</v>
      </c>
      <c r="J38" s="166">
        <f>AVERAGE(J11:J15)</f>
        <v>91</v>
      </c>
      <c r="K38" s="165">
        <f>AVERAGE(K11:K15)</f>
        <v>92.8</v>
      </c>
      <c r="L38" s="165">
        <f>AVERAGE(L11:L15)</f>
        <v>89.4</v>
      </c>
      <c r="M38" s="157">
        <f>SUM(M11:M15)</f>
        <v>0</v>
      </c>
      <c r="N38" s="164" t="e">
        <f>AVERAGE(N11:N15)</f>
        <v>#DIV/0!</v>
      </c>
      <c r="O38" s="163">
        <v>2</v>
      </c>
      <c r="P38" s="11">
        <v>-2.0057142857142858</v>
      </c>
      <c r="Q38" s="11">
        <v>7.4799999999999986</v>
      </c>
      <c r="R38" s="156">
        <v>2007</v>
      </c>
      <c r="S38" s="11">
        <v>-21.3</v>
      </c>
      <c r="T38" s="156">
        <v>1985</v>
      </c>
      <c r="U38" s="103">
        <f>AVERAGE(U11:U15)</f>
        <v>4.95</v>
      </c>
      <c r="V38" s="177">
        <v>0.91523809523809496</v>
      </c>
      <c r="W38" s="176">
        <v>9.4</v>
      </c>
      <c r="X38" s="175">
        <v>2007</v>
      </c>
      <c r="Y38" s="176">
        <v>-13.38</v>
      </c>
      <c r="Z38" s="175">
        <v>1985</v>
      </c>
      <c r="AA38" s="103">
        <f>AVERAGE(AA11:AA15)</f>
        <v>9.1</v>
      </c>
      <c r="AB38" s="158">
        <v>2</v>
      </c>
      <c r="AC38" s="157">
        <v>-5.4952380952380944</v>
      </c>
      <c r="AD38" s="11">
        <v>5.2799999999999994</v>
      </c>
      <c r="AE38" s="156" t="s">
        <v>94</v>
      </c>
      <c r="AF38" s="11">
        <v>-27.7</v>
      </c>
      <c r="AG38" s="156" t="s">
        <v>100</v>
      </c>
      <c r="AH38" s="103">
        <f>AVERAGE(AH11:AH15)</f>
        <v>2.44</v>
      </c>
      <c r="AI38" s="158">
        <v>2</v>
      </c>
      <c r="AJ38" s="157">
        <v>-6.4114285714285719</v>
      </c>
      <c r="AK38" s="11">
        <v>4.26</v>
      </c>
      <c r="AL38" s="156" t="s">
        <v>94</v>
      </c>
      <c r="AM38" s="11">
        <v>-29.679999999999996</v>
      </c>
      <c r="AN38" s="156" t="s">
        <v>100</v>
      </c>
      <c r="AO38" s="103">
        <f>AVERAGE(AO11:AO15)</f>
        <v>2.4</v>
      </c>
      <c r="AP38" s="155">
        <v>6.1849999999999987</v>
      </c>
      <c r="AQ38" s="154">
        <v>43.4</v>
      </c>
      <c r="AR38" s="153">
        <v>2001</v>
      </c>
      <c r="AS38" s="152">
        <f>SUM(AS11:AS15)</f>
        <v>18</v>
      </c>
      <c r="BM38" s="210" t="s">
        <v>106</v>
      </c>
      <c r="BN38" s="209"/>
      <c r="BO38" s="207"/>
      <c r="BP38" s="208" t="s">
        <v>105</v>
      </c>
      <c r="BQ38" s="207"/>
      <c r="BR38" s="206"/>
      <c r="BS38"/>
      <c r="BW38" s="171">
        <v>2010</v>
      </c>
      <c r="BX38" s="170">
        <v>-5.6080645161290317</v>
      </c>
      <c r="BY38" s="169">
        <v>35</v>
      </c>
      <c r="BZ38" s="20">
        <v>1979</v>
      </c>
      <c r="CA38" s="172">
        <v>-4.4870967741935486</v>
      </c>
      <c r="CC38" s="171">
        <v>2010</v>
      </c>
      <c r="CD38" s="170">
        <v>-3.0096774193548392</v>
      </c>
      <c r="CE38" s="169">
        <v>35</v>
      </c>
      <c r="CF38" s="20">
        <v>1979</v>
      </c>
      <c r="CG38" s="172">
        <v>-1.3516129032258062</v>
      </c>
      <c r="CI38" s="171">
        <v>2010</v>
      </c>
      <c r="CJ38" s="170">
        <v>-8.880645161290321</v>
      </c>
      <c r="CK38" s="169">
        <v>35</v>
      </c>
      <c r="CL38" s="20">
        <v>1980</v>
      </c>
      <c r="CM38" s="172">
        <v>-8.1161290322580637</v>
      </c>
      <c r="CO38" s="171">
        <v>2010</v>
      </c>
      <c r="CP38" s="170">
        <v>-8.9580645161290295</v>
      </c>
      <c r="CQ38" s="169">
        <v>35</v>
      </c>
      <c r="CR38" s="20">
        <v>1996</v>
      </c>
      <c r="CS38" s="172">
        <v>-8.9548387096774178</v>
      </c>
      <c r="CU38" s="171">
        <v>2010</v>
      </c>
      <c r="CV38" s="170">
        <v>57.900000000000013</v>
      </c>
      <c r="CW38" s="169">
        <v>35</v>
      </c>
      <c r="CX38" s="20">
        <v>1980</v>
      </c>
      <c r="CY38" s="168">
        <v>22.599999999999998</v>
      </c>
    </row>
    <row r="39" spans="1:103" ht="15.4" customHeight="1" x14ac:dyDescent="0.2">
      <c r="A39" s="163">
        <v>3</v>
      </c>
      <c r="B39" s="5">
        <f>AVERAGE(B16:B20)</f>
        <v>1.36</v>
      </c>
      <c r="C39" s="5">
        <f>AVERAGE(C16:C20)</f>
        <v>-2.5200000000000005</v>
      </c>
      <c r="D39" s="11">
        <f>AVERAGE(D16:D20)</f>
        <v>-3.4799999999999995</v>
      </c>
      <c r="E39" s="5">
        <f>AVERAGE(E16:E20)</f>
        <v>-1.3800000000000001</v>
      </c>
      <c r="F39" s="11">
        <f>AVERAGE(F16:F20)</f>
        <v>0.21999999999999992</v>
      </c>
      <c r="G39" s="5">
        <f>AVERAGE(G16:G20)</f>
        <v>-1.1199999999999999</v>
      </c>
      <c r="H39" s="167">
        <f>AVERAGE(H16:H20)</f>
        <v>-0.85</v>
      </c>
      <c r="I39" s="167">
        <f>SUM(I16:I20)</f>
        <v>0.9</v>
      </c>
      <c r="J39" s="166">
        <f>AVERAGE(J16:J20)</f>
        <v>94.4</v>
      </c>
      <c r="K39" s="165">
        <f>AVERAGE(K16:K20)</f>
        <v>87.8</v>
      </c>
      <c r="L39" s="165">
        <f>AVERAGE(L16:L20)</f>
        <v>90</v>
      </c>
      <c r="M39" s="157">
        <f>SUM(M16:M20)</f>
        <v>0</v>
      </c>
      <c r="N39" s="164">
        <v>0</v>
      </c>
      <c r="O39" s="163">
        <v>3</v>
      </c>
      <c r="P39" s="11">
        <v>-1.180595238095238</v>
      </c>
      <c r="Q39" s="11">
        <v>6.43</v>
      </c>
      <c r="R39" s="156">
        <v>2007</v>
      </c>
      <c r="S39" s="11">
        <v>-18.98</v>
      </c>
      <c r="T39" s="156">
        <v>1987</v>
      </c>
      <c r="U39" s="103">
        <f>AVERAGE(U16:U20)</f>
        <v>-0.85</v>
      </c>
      <c r="V39" s="177">
        <v>1.7838095238095235</v>
      </c>
      <c r="W39" s="176">
        <v>9.2399999999999984</v>
      </c>
      <c r="X39" s="175">
        <v>2007</v>
      </c>
      <c r="Y39" s="176">
        <v>-13.819999999999999</v>
      </c>
      <c r="Z39" s="175">
        <v>1987</v>
      </c>
      <c r="AA39" s="103">
        <f>AVERAGE(AA16:AA20)</f>
        <v>1.36</v>
      </c>
      <c r="AB39" s="158">
        <v>3</v>
      </c>
      <c r="AC39" s="157">
        <v>-4.7966666666666686</v>
      </c>
      <c r="AD39" s="11">
        <v>3.6000000000000005</v>
      </c>
      <c r="AE39" s="156" t="s">
        <v>94</v>
      </c>
      <c r="AF39" s="11">
        <v>-23.560000000000002</v>
      </c>
      <c r="AG39" s="156" t="s">
        <v>93</v>
      </c>
      <c r="AH39" s="103">
        <f>AVERAGE(AH16:AH20)</f>
        <v>-2.5200000000000005</v>
      </c>
      <c r="AI39" s="158">
        <v>3</v>
      </c>
      <c r="AJ39" s="157">
        <v>-5.6523809523809527</v>
      </c>
      <c r="AK39" s="11">
        <v>3.4599999999999995</v>
      </c>
      <c r="AL39" s="156" t="s">
        <v>94</v>
      </c>
      <c r="AM39" s="11">
        <v>-24.26</v>
      </c>
      <c r="AN39" s="156" t="s">
        <v>93</v>
      </c>
      <c r="AO39" s="103">
        <f>AVERAGE(AO16:AO20)</f>
        <v>-3.4799999999999995</v>
      </c>
      <c r="AP39" s="155">
        <v>5.5125000000000002</v>
      </c>
      <c r="AQ39" s="154">
        <v>30.700000000000003</v>
      </c>
      <c r="AR39" s="153">
        <v>1977</v>
      </c>
      <c r="AS39" s="152">
        <f>SUM(AS16:AS20)</f>
        <v>0.9</v>
      </c>
      <c r="BM39" s="70"/>
      <c r="BN39" s="205"/>
      <c r="BO39" s="204"/>
      <c r="BP39" s="203">
        <v>7</v>
      </c>
      <c r="BQ39" s="203">
        <v>14</v>
      </c>
      <c r="BR39" s="202">
        <v>21</v>
      </c>
      <c r="BS39"/>
      <c r="BW39" s="171">
        <v>2011</v>
      </c>
      <c r="BX39" s="170">
        <v>-0.75645161290322593</v>
      </c>
      <c r="BY39" s="169">
        <v>36</v>
      </c>
      <c r="BZ39" s="20">
        <v>1982</v>
      </c>
      <c r="CA39" s="172">
        <v>-4.6193548387096772</v>
      </c>
      <c r="CC39" s="171">
        <v>2011</v>
      </c>
      <c r="CD39" s="170">
        <v>2.3451612903225811</v>
      </c>
      <c r="CE39" s="169">
        <v>36</v>
      </c>
      <c r="CF39" s="20">
        <v>1980</v>
      </c>
      <c r="CG39" s="172">
        <v>-1.3677419354838705</v>
      </c>
      <c r="CI39" s="171">
        <v>2011</v>
      </c>
      <c r="CJ39" s="170">
        <v>-4.193548387096774</v>
      </c>
      <c r="CK39" s="169">
        <v>36</v>
      </c>
      <c r="CL39" s="20">
        <v>1982</v>
      </c>
      <c r="CM39" s="172">
        <v>-8.6903225806451623</v>
      </c>
      <c r="CO39" s="171">
        <v>2011</v>
      </c>
      <c r="CP39" s="170">
        <v>-4.8290322580645171</v>
      </c>
      <c r="CQ39" s="169">
        <v>36</v>
      </c>
      <c r="CR39" s="20">
        <v>2010</v>
      </c>
      <c r="CS39" s="172">
        <v>-8.9580645161290295</v>
      </c>
      <c r="CU39" s="171">
        <v>2011</v>
      </c>
      <c r="CV39" s="170">
        <v>31.300000000000004</v>
      </c>
      <c r="CW39" s="169">
        <v>36</v>
      </c>
      <c r="CX39" s="20">
        <v>2002</v>
      </c>
      <c r="CY39" s="168">
        <v>22.1</v>
      </c>
    </row>
    <row r="40" spans="1:103" ht="15.4" customHeight="1" x14ac:dyDescent="0.2">
      <c r="A40" s="163">
        <v>4</v>
      </c>
      <c r="B40" s="5">
        <f>AVERAGE(B21:B25)</f>
        <v>3.28</v>
      </c>
      <c r="C40" s="5">
        <f>AVERAGE(C21:C25)</f>
        <v>-2.0599999999999996</v>
      </c>
      <c r="D40" s="11">
        <f>AVERAGE(D21:D25)</f>
        <v>-5.1400000000000006</v>
      </c>
      <c r="E40" s="5">
        <f>AVERAGE(E21:E25)</f>
        <v>-0.8</v>
      </c>
      <c r="F40" s="11">
        <f>AVERAGE(F21:F25)</f>
        <v>1.5399999999999998</v>
      </c>
      <c r="G40" s="5">
        <f>AVERAGE(G21:G25)</f>
        <v>1.2399999999999998</v>
      </c>
      <c r="H40" s="167">
        <f>AVERAGE(H21:H25)</f>
        <v>0.80499999999999972</v>
      </c>
      <c r="I40" s="167">
        <f>SUM(I21:I25)</f>
        <v>4.3000000000000007</v>
      </c>
      <c r="J40" s="166">
        <f>AVERAGE(J21:J25)</f>
        <v>82.6</v>
      </c>
      <c r="K40" s="165">
        <f>AVERAGE(K21:K25)</f>
        <v>79.400000000000006</v>
      </c>
      <c r="L40" s="165">
        <f>AVERAGE(L21:L25)</f>
        <v>85.4</v>
      </c>
      <c r="M40" s="157">
        <f>SUM(M21:M25)</f>
        <v>4</v>
      </c>
      <c r="N40" s="164">
        <f>AVERAGE(N21:N25)</f>
        <v>1.6666666666666667</v>
      </c>
      <c r="O40" s="163">
        <v>4</v>
      </c>
      <c r="P40" s="11">
        <v>-1.6573809523809524</v>
      </c>
      <c r="Q40" s="11">
        <v>7.0049999999999999</v>
      </c>
      <c r="R40" s="156">
        <v>2008</v>
      </c>
      <c r="S40" s="11">
        <v>-10.440000000000001</v>
      </c>
      <c r="T40" s="156">
        <v>1985</v>
      </c>
      <c r="U40" s="103">
        <f>AVERAGE(U21:U25)</f>
        <v>0.80499999999999972</v>
      </c>
      <c r="V40" s="177">
        <v>1.514285714285714</v>
      </c>
      <c r="W40" s="176">
        <v>9.7199999999999989</v>
      </c>
      <c r="X40" s="175">
        <v>1993</v>
      </c>
      <c r="Y40" s="176">
        <v>-8.620000000000001</v>
      </c>
      <c r="Z40" s="175">
        <v>1987</v>
      </c>
      <c r="AA40" s="103">
        <f>AVERAGE(AA21:AA25)</f>
        <v>3.28</v>
      </c>
      <c r="AB40" s="158">
        <v>4</v>
      </c>
      <c r="AC40" s="157">
        <v>-5.3347619047619039</v>
      </c>
      <c r="AD40" s="11">
        <v>4.96</v>
      </c>
      <c r="AE40" s="156" t="s">
        <v>99</v>
      </c>
      <c r="AF40" s="11">
        <v>-16.939999999999998</v>
      </c>
      <c r="AG40" s="156" t="s">
        <v>100</v>
      </c>
      <c r="AH40" s="103">
        <f>AVERAGE(AH21:AH25)</f>
        <v>-2.0599999999999996</v>
      </c>
      <c r="AI40" s="158">
        <v>4</v>
      </c>
      <c r="AJ40" s="157">
        <v>-6.0795238095238107</v>
      </c>
      <c r="AK40" s="11">
        <v>4.6399999999999988</v>
      </c>
      <c r="AL40" s="156" t="s">
        <v>99</v>
      </c>
      <c r="AM40" s="11">
        <v>-18.68</v>
      </c>
      <c r="AN40" s="156" t="s">
        <v>100</v>
      </c>
      <c r="AO40" s="103">
        <f>AVERAGE(AO21:AO25)</f>
        <v>-5.1400000000000006</v>
      </c>
      <c r="AP40" s="155">
        <v>5.9249999999999989</v>
      </c>
      <c r="AQ40" s="154">
        <v>27.4</v>
      </c>
      <c r="AR40" s="153">
        <v>2007</v>
      </c>
      <c r="AS40" s="152">
        <f>SUM(AS21:AS25)</f>
        <v>4.3000000000000007</v>
      </c>
      <c r="BM40" s="70"/>
      <c r="BN40" s="19" t="s">
        <v>56</v>
      </c>
      <c r="BO40" s="174"/>
      <c r="BP40" s="201">
        <f>VALUE(J51)</f>
        <v>86.451612903225808</v>
      </c>
      <c r="BQ40" s="201">
        <f>VALUE(K51)</f>
        <v>81.354838709677423</v>
      </c>
      <c r="BR40" s="200">
        <f>VALUE(L51)</f>
        <v>84.290322580645167</v>
      </c>
      <c r="BS40"/>
      <c r="BW40" s="171">
        <v>2012</v>
      </c>
      <c r="BX40" s="170">
        <v>-0.76209677419354838</v>
      </c>
      <c r="BY40" s="169">
        <v>37</v>
      </c>
      <c r="BZ40" s="20">
        <v>1996</v>
      </c>
      <c r="CA40" s="172">
        <v>-4.9451612903225808</v>
      </c>
      <c r="CC40" s="171">
        <v>2012</v>
      </c>
      <c r="CD40" s="170">
        <v>2.0193548387096776</v>
      </c>
      <c r="CE40" s="169">
        <v>37</v>
      </c>
      <c r="CF40" s="20">
        <v>2017</v>
      </c>
      <c r="CG40" s="172">
        <v>-1.5</v>
      </c>
      <c r="CI40" s="171">
        <v>2012</v>
      </c>
      <c r="CJ40" s="170">
        <v>-2.9129032258064513</v>
      </c>
      <c r="CK40" s="169">
        <v>37</v>
      </c>
      <c r="CL40" s="20">
        <v>2010</v>
      </c>
      <c r="CM40" s="172">
        <v>-8.880645161290321</v>
      </c>
      <c r="CO40" s="171">
        <v>2012</v>
      </c>
      <c r="CP40" s="170">
        <v>-3.1064516129032258</v>
      </c>
      <c r="CQ40" s="169">
        <v>37</v>
      </c>
      <c r="CR40" s="20">
        <v>1979</v>
      </c>
      <c r="CS40" s="172">
        <v>-9.0967741935483879</v>
      </c>
      <c r="CU40" s="171">
        <v>2012</v>
      </c>
      <c r="CV40" s="170">
        <v>65.400000000000006</v>
      </c>
      <c r="CW40" s="169">
        <v>37</v>
      </c>
      <c r="CX40" s="20">
        <v>1982</v>
      </c>
      <c r="CY40" s="168">
        <v>21</v>
      </c>
    </row>
    <row r="41" spans="1:103" ht="15.4" customHeight="1" x14ac:dyDescent="0.2">
      <c r="A41" s="163">
        <v>5</v>
      </c>
      <c r="B41" s="5">
        <f>AVERAGE(B26:B30)</f>
        <v>2.98</v>
      </c>
      <c r="C41" s="5">
        <f>AVERAGE(C26:C30)</f>
        <v>-1.3400000000000003</v>
      </c>
      <c r="D41" s="11">
        <f>AVERAGE(D26:D30)</f>
        <v>-1.6600000000000001</v>
      </c>
      <c r="E41" s="5">
        <f>AVERAGE(E26:E30)</f>
        <v>0.63999999999999968</v>
      </c>
      <c r="F41" s="11">
        <f>AVERAGE(F26:F30)</f>
        <v>1.6200000000000003</v>
      </c>
      <c r="G41" s="5">
        <f>AVERAGE(G26:G30)</f>
        <v>1.3399999999999999</v>
      </c>
      <c r="H41" s="167">
        <f>AVERAGE(H26:H30)</f>
        <v>1.2350000000000001</v>
      </c>
      <c r="I41" s="167">
        <f>SUM(I26:I30)</f>
        <v>3.9</v>
      </c>
      <c r="J41" s="166">
        <f>AVERAGE(J26:J30)</f>
        <v>84.4</v>
      </c>
      <c r="K41" s="165">
        <f>AVERAGE(K26:K30)</f>
        <v>79.400000000000006</v>
      </c>
      <c r="L41" s="165">
        <f>AVERAGE(L26:L30)</f>
        <v>80.8</v>
      </c>
      <c r="M41" s="157">
        <f>SUM(M26:M30)</f>
        <v>4</v>
      </c>
      <c r="N41" s="164">
        <f>AVERAGE(N26:N30)</f>
        <v>2.75</v>
      </c>
      <c r="O41" s="163">
        <v>5</v>
      </c>
      <c r="P41" s="11">
        <v>-1.8577380952380966</v>
      </c>
      <c r="Q41" s="11">
        <v>6.1599999999999993</v>
      </c>
      <c r="R41" s="156">
        <v>1993</v>
      </c>
      <c r="S41" s="11">
        <v>-12.690000000000001</v>
      </c>
      <c r="T41" s="156">
        <v>2006</v>
      </c>
      <c r="U41" s="103">
        <f>AVERAGE(U26:U30)</f>
        <v>1.2350000000000001</v>
      </c>
      <c r="V41" s="177">
        <v>0.90952380952380929</v>
      </c>
      <c r="W41" s="176">
        <v>10.059999999999999</v>
      </c>
      <c r="X41" s="175">
        <v>1993</v>
      </c>
      <c r="Y41" s="176">
        <v>-8.8000000000000007</v>
      </c>
      <c r="Z41" s="175">
        <v>2010</v>
      </c>
      <c r="AA41" s="103">
        <f>AVERAGE(AA26:AA30)</f>
        <v>2.98</v>
      </c>
      <c r="AB41" s="158">
        <v>5</v>
      </c>
      <c r="AC41" s="157">
        <v>-5.0038095238095242</v>
      </c>
      <c r="AD41" s="11">
        <v>2.74</v>
      </c>
      <c r="AE41" s="156" t="s">
        <v>98</v>
      </c>
      <c r="AF41" s="11">
        <v>-18.279999999999998</v>
      </c>
      <c r="AG41" s="156" t="s">
        <v>97</v>
      </c>
      <c r="AH41" s="103">
        <f>AVERAGE(AH26:AH30)</f>
        <v>-1.3400000000000003</v>
      </c>
      <c r="AI41" s="158">
        <v>5</v>
      </c>
      <c r="AJ41" s="157">
        <v>-5.4757142857142851</v>
      </c>
      <c r="AK41" s="11">
        <v>3.04</v>
      </c>
      <c r="AL41" s="156" t="s">
        <v>98</v>
      </c>
      <c r="AM41" s="11">
        <v>-17.82</v>
      </c>
      <c r="AN41" s="156" t="s">
        <v>97</v>
      </c>
      <c r="AO41" s="103">
        <f>AVERAGE(AO26:AO30)</f>
        <v>-1.6600000000000001</v>
      </c>
      <c r="AP41" s="155">
        <v>6.7874999999999996</v>
      </c>
      <c r="AQ41" s="154">
        <v>21.9</v>
      </c>
      <c r="AR41" s="153">
        <v>2009</v>
      </c>
      <c r="AS41" s="152">
        <f>SUM(AS26:AS30)</f>
        <v>3.9</v>
      </c>
      <c r="BM41" s="70"/>
      <c r="BN41" s="19" t="s">
        <v>37</v>
      </c>
      <c r="BO41" s="174"/>
      <c r="BP41" s="201">
        <f>VALUE(J52)</f>
        <v>100</v>
      </c>
      <c r="BQ41" s="201">
        <f>VALUE(K52)</f>
        <v>100</v>
      </c>
      <c r="BR41" s="200">
        <f>VALUE(L52)</f>
        <v>100</v>
      </c>
      <c r="BS41"/>
      <c r="BW41" s="171">
        <v>2013</v>
      </c>
      <c r="BX41" s="170">
        <v>-2.4104838709677416</v>
      </c>
      <c r="BY41" s="169">
        <v>38</v>
      </c>
      <c r="BZ41" s="20">
        <v>2017</v>
      </c>
      <c r="CA41" s="172">
        <v>-5.5620967741935496</v>
      </c>
      <c r="CC41" s="171">
        <v>2013</v>
      </c>
      <c r="CD41" s="170">
        <v>0.14516129032258071</v>
      </c>
      <c r="CE41" s="169">
        <v>38</v>
      </c>
      <c r="CF41" s="20">
        <v>2006</v>
      </c>
      <c r="CG41" s="172">
        <v>-2.1225806451612899</v>
      </c>
      <c r="CI41" s="171">
        <v>2013</v>
      </c>
      <c r="CJ41" s="170">
        <v>-5.3129032258064521</v>
      </c>
      <c r="CK41" s="169">
        <v>38</v>
      </c>
      <c r="CL41" s="20">
        <v>1997</v>
      </c>
      <c r="CM41" s="172">
        <v>-9.0096774193548388</v>
      </c>
      <c r="CO41" s="171">
        <v>2013</v>
      </c>
      <c r="CP41" s="170">
        <v>-5.154838709677418</v>
      </c>
      <c r="CQ41" s="169">
        <v>38</v>
      </c>
      <c r="CR41" s="20">
        <v>1997</v>
      </c>
      <c r="CS41" s="172">
        <v>-9.3645161290322587</v>
      </c>
      <c r="CU41" s="171">
        <v>2013</v>
      </c>
      <c r="CV41" s="170">
        <v>53.199999999999996</v>
      </c>
      <c r="CW41" s="169">
        <v>38</v>
      </c>
      <c r="CX41" s="20">
        <v>1978</v>
      </c>
      <c r="CY41" s="168">
        <v>19.099999999999998</v>
      </c>
    </row>
    <row r="42" spans="1:103" ht="15.4" customHeight="1" thickBot="1" x14ac:dyDescent="0.25">
      <c r="A42" s="86">
        <v>6</v>
      </c>
      <c r="B42" s="199">
        <f>AVERAGE(B31:B36)</f>
        <v>6.8</v>
      </c>
      <c r="C42" s="199">
        <f>AVERAGE(C31:C36)</f>
        <v>-3.3333333333333361E-2</v>
      </c>
      <c r="D42" s="26">
        <f>AVERAGE(D31:D36)</f>
        <v>-0.96666666666666645</v>
      </c>
      <c r="E42" s="199">
        <f>AVERAGE(E31:E36)</f>
        <v>2.4666666666666668</v>
      </c>
      <c r="F42" s="26">
        <f>AVERAGE(F31:F36)</f>
        <v>5.8833333333333329</v>
      </c>
      <c r="G42" s="199">
        <f>AVERAGE(G31:G36)</f>
        <v>3.8333333333333335</v>
      </c>
      <c r="H42" s="198">
        <f>AVERAGE(H31:H36)</f>
        <v>4.0041666666666664</v>
      </c>
      <c r="I42" s="198">
        <f>SUM(I31:I36)</f>
        <v>1.9</v>
      </c>
      <c r="J42" s="197">
        <f>AVERAGE(J31:J36)</f>
        <v>83.5</v>
      </c>
      <c r="K42" s="196">
        <f>AVERAGE(K31:K36)</f>
        <v>72.666666666666671</v>
      </c>
      <c r="L42" s="196">
        <f>AVERAGE(L31:L36)</f>
        <v>81.333333333333329</v>
      </c>
      <c r="M42" s="194">
        <f>SUM(M31:M36)</f>
        <v>0</v>
      </c>
      <c r="N42" s="164" t="e">
        <f>AVERAGE(N31:N36)</f>
        <v>#DIV/0!</v>
      </c>
      <c r="O42" s="86">
        <v>6</v>
      </c>
      <c r="P42" s="26">
        <v>-1.758531746031746</v>
      </c>
      <c r="Q42" s="26">
        <v>7.9624999999999995</v>
      </c>
      <c r="R42" s="193">
        <v>2002</v>
      </c>
      <c r="S42" s="26">
        <v>-9.7458333333333336</v>
      </c>
      <c r="T42" s="193">
        <v>2012</v>
      </c>
      <c r="U42" s="159">
        <f>AVERAGE(U31:U36)</f>
        <v>4.0041666666666664</v>
      </c>
      <c r="V42" s="162">
        <v>1.2194444444444446</v>
      </c>
      <c r="W42" s="161">
        <v>10.700000000000001</v>
      </c>
      <c r="X42" s="160">
        <v>2002</v>
      </c>
      <c r="Y42" s="161">
        <v>-6.3999999999999995</v>
      </c>
      <c r="Z42" s="160">
        <v>1996</v>
      </c>
      <c r="AA42" s="103">
        <f>AVERAGE(AA31:AA36)</f>
        <v>6.8</v>
      </c>
      <c r="AB42" s="195">
        <v>6</v>
      </c>
      <c r="AC42" s="194">
        <v>-5.7515873015873016</v>
      </c>
      <c r="AD42" s="26">
        <v>2.7666666666666671</v>
      </c>
      <c r="AE42" s="193" t="s">
        <v>104</v>
      </c>
      <c r="AF42" s="26">
        <v>-16.150000000000002</v>
      </c>
      <c r="AG42" s="193" t="s">
        <v>93</v>
      </c>
      <c r="AH42" s="103">
        <f>AVERAGE(AH31:AH36)</f>
        <v>-3.3333333333333361E-2</v>
      </c>
      <c r="AI42" s="195">
        <v>6</v>
      </c>
      <c r="AJ42" s="194">
        <v>-6.2111111111111112</v>
      </c>
      <c r="AK42" s="26">
        <v>2.5666666666666669</v>
      </c>
      <c r="AL42" s="193" t="s">
        <v>104</v>
      </c>
      <c r="AM42" s="26">
        <v>-16.100000000000001</v>
      </c>
      <c r="AN42" s="193" t="s">
        <v>97</v>
      </c>
      <c r="AO42" s="159">
        <f>AVERAGE(AO31:AO36)</f>
        <v>-0.96666666666666645</v>
      </c>
      <c r="AP42" s="192">
        <v>7.7625000000000002</v>
      </c>
      <c r="AQ42" s="191">
        <v>24.400000000000002</v>
      </c>
      <c r="AR42" s="190">
        <v>1979</v>
      </c>
      <c r="AS42" s="189">
        <f>SUM(AS31:AS36)</f>
        <v>1.9</v>
      </c>
      <c r="BM42" s="70"/>
      <c r="BN42" s="14" t="s">
        <v>29</v>
      </c>
      <c r="BO42" s="115"/>
      <c r="BP42" s="188">
        <f>VALUE(J53)</f>
        <v>63</v>
      </c>
      <c r="BQ42" s="188">
        <f>VALUE(K53)</f>
        <v>55</v>
      </c>
      <c r="BR42" s="187">
        <f>VALUE(L53)</f>
        <v>60</v>
      </c>
      <c r="BS42"/>
      <c r="BW42" s="171">
        <v>2014</v>
      </c>
      <c r="BX42" s="170">
        <v>1.0766129032258069</v>
      </c>
      <c r="BY42" s="169">
        <v>39</v>
      </c>
      <c r="BZ42" s="20">
        <v>2010</v>
      </c>
      <c r="CA42" s="172">
        <v>-5.6080645161290317</v>
      </c>
      <c r="CC42" s="171">
        <v>2014</v>
      </c>
      <c r="CD42" s="170">
        <v>4.0870967741935473</v>
      </c>
      <c r="CE42" s="169">
        <v>39</v>
      </c>
      <c r="CF42" s="20">
        <v>1996</v>
      </c>
      <c r="CG42" s="172">
        <v>-2.5838709677419351</v>
      </c>
      <c r="CI42" s="171">
        <v>2014</v>
      </c>
      <c r="CJ42" s="170">
        <v>-2.2645161290322577</v>
      </c>
      <c r="CK42" s="169">
        <v>39</v>
      </c>
      <c r="CL42" s="20">
        <v>1979</v>
      </c>
      <c r="CM42" s="172">
        <v>-9.1096774193548384</v>
      </c>
      <c r="CO42" s="171">
        <v>2014</v>
      </c>
      <c r="CP42" s="170">
        <v>-2.5838709677419351</v>
      </c>
      <c r="CQ42" s="169">
        <v>39</v>
      </c>
      <c r="CR42" s="20">
        <v>1981</v>
      </c>
      <c r="CS42" s="172">
        <v>-9.5838709677419356</v>
      </c>
      <c r="CU42" s="171">
        <v>2014</v>
      </c>
      <c r="CV42" s="170">
        <v>23.100000000000005</v>
      </c>
      <c r="CW42" s="169">
        <v>39</v>
      </c>
      <c r="CX42" s="20">
        <v>1989</v>
      </c>
      <c r="CY42" s="168">
        <v>15.8</v>
      </c>
    </row>
    <row r="43" spans="1:103" ht="15.4" customHeight="1" x14ac:dyDescent="0.2">
      <c r="A43" s="186" t="s">
        <v>103</v>
      </c>
      <c r="B43" s="5">
        <f>AVERAGE(B6:B15)</f>
        <v>8.24</v>
      </c>
      <c r="C43" s="5">
        <f>AVERAGE(C6:C15)</f>
        <v>2.21</v>
      </c>
      <c r="D43" s="11">
        <f>AVERAGE(D6:D15)</f>
        <v>1.0100000000000002</v>
      </c>
      <c r="E43" s="5">
        <f>AVERAGE(E6:E15)</f>
        <v>4.3199999999999994</v>
      </c>
      <c r="F43" s="11">
        <f>AVERAGE(F6:F15)</f>
        <v>5.22</v>
      </c>
      <c r="G43" s="5">
        <f>AVERAGE(G6:G15)</f>
        <v>4.9599999999999991</v>
      </c>
      <c r="H43" s="167">
        <f>AVERAGE(H6:H15)</f>
        <v>4.8650000000000002</v>
      </c>
      <c r="I43" s="167">
        <f>SUM(I6:I15)</f>
        <v>20</v>
      </c>
      <c r="J43" s="166">
        <f>AVERAGE(J6:J15)</f>
        <v>87.2</v>
      </c>
      <c r="K43" s="165">
        <f>AVERAGE(K6:K15)</f>
        <v>85.3</v>
      </c>
      <c r="L43" s="165">
        <f>AVERAGE(L6:L15)</f>
        <v>84.4</v>
      </c>
      <c r="M43" s="157">
        <f>SUM(M6:M15)</f>
        <v>0</v>
      </c>
      <c r="N43" s="185" t="e">
        <f>AVERAGE(N6:N15)</f>
        <v>#DIV/0!</v>
      </c>
      <c r="O43" s="163" t="s">
        <v>102</v>
      </c>
      <c r="P43" s="11">
        <v>-1.7896428571428566</v>
      </c>
      <c r="Q43" s="11">
        <v>5.76</v>
      </c>
      <c r="R43" s="156">
        <v>2014</v>
      </c>
      <c r="S43" s="11">
        <v>-15.38</v>
      </c>
      <c r="T43" s="156">
        <v>1985</v>
      </c>
      <c r="U43" s="103">
        <f>AVERAGE(U6:U15)</f>
        <v>4.8650000000000002</v>
      </c>
      <c r="V43" s="177">
        <v>1.0869047619047623</v>
      </c>
      <c r="W43" s="176">
        <v>8.4499999999999993</v>
      </c>
      <c r="X43" s="175">
        <v>2014</v>
      </c>
      <c r="Y43" s="176">
        <v>-9.9</v>
      </c>
      <c r="Z43" s="175">
        <v>1985</v>
      </c>
      <c r="AA43" s="184">
        <f>AVERAGE(AA6:AA15)</f>
        <v>8.24</v>
      </c>
      <c r="AB43" s="183" t="s">
        <v>101</v>
      </c>
      <c r="AC43" s="157">
        <v>-5.2580952380952386</v>
      </c>
      <c r="AD43" s="11">
        <v>3.59</v>
      </c>
      <c r="AE43" s="156" t="s">
        <v>94</v>
      </c>
      <c r="AF43" s="11">
        <v>-19.809999999999999</v>
      </c>
      <c r="AG43" s="156" t="s">
        <v>100</v>
      </c>
      <c r="AH43" s="184">
        <f>AVERAGE(AH6:AH15)</f>
        <v>2.21</v>
      </c>
      <c r="AI43" s="183" t="s">
        <v>101</v>
      </c>
      <c r="AJ43" s="157">
        <v>-6.0428571428571445</v>
      </c>
      <c r="AK43" s="11">
        <v>2.06</v>
      </c>
      <c r="AL43" s="156" t="s">
        <v>94</v>
      </c>
      <c r="AM43" s="11">
        <v>-21.29</v>
      </c>
      <c r="AN43" s="156" t="s">
        <v>100</v>
      </c>
      <c r="AO43" s="103">
        <f>AVERAGE(AO6:AO15)</f>
        <v>1.0100000000000002</v>
      </c>
      <c r="AP43" s="155">
        <v>14.11</v>
      </c>
      <c r="AQ43" s="154">
        <v>49.7</v>
      </c>
      <c r="AR43" s="153">
        <v>2010</v>
      </c>
      <c r="AS43" s="152">
        <f>SUM(AS6:AS15)</f>
        <v>20</v>
      </c>
      <c r="BM43" s="70"/>
      <c r="BN43" s="182" t="s">
        <v>42</v>
      </c>
      <c r="BO43" s="181"/>
      <c r="BP43" s="180">
        <f>VALUE(J54)</f>
        <v>84.422222222222217</v>
      </c>
      <c r="BQ43" s="179"/>
      <c r="BR43" s="178"/>
      <c r="BS43"/>
      <c r="BW43" s="171">
        <v>2015</v>
      </c>
      <c r="BX43" s="170">
        <v>1.3782258064516124</v>
      </c>
      <c r="BY43" s="169">
        <v>40</v>
      </c>
      <c r="BZ43" s="20">
        <v>1997</v>
      </c>
      <c r="CA43" s="172">
        <v>-5.6483870967741945</v>
      </c>
      <c r="CC43" s="171">
        <v>2015</v>
      </c>
      <c r="CD43" s="170">
        <v>3.6806451612903235</v>
      </c>
      <c r="CE43" s="169">
        <v>40</v>
      </c>
      <c r="CF43" s="20">
        <v>1997</v>
      </c>
      <c r="CG43" s="172">
        <v>-2.8741935483870975</v>
      </c>
      <c r="CI43" s="171">
        <v>2015</v>
      </c>
      <c r="CJ43" s="170">
        <v>-1.5774193548387097</v>
      </c>
      <c r="CK43" s="169">
        <v>40</v>
      </c>
      <c r="CL43" s="20">
        <v>2017</v>
      </c>
      <c r="CM43" s="168">
        <v>-10.1</v>
      </c>
      <c r="CO43" s="171">
        <v>2015</v>
      </c>
      <c r="CP43" s="170">
        <v>-2.2483870967741932</v>
      </c>
      <c r="CQ43" s="169">
        <v>40</v>
      </c>
      <c r="CR43" s="20">
        <v>2017</v>
      </c>
      <c r="CS43" s="172">
        <v>-10.7</v>
      </c>
      <c r="CU43" s="171">
        <v>2015</v>
      </c>
      <c r="CV43" s="170">
        <v>53.9</v>
      </c>
      <c r="CW43" s="169">
        <v>40</v>
      </c>
      <c r="CX43" s="20">
        <v>1996</v>
      </c>
      <c r="CY43" s="168">
        <v>15.7</v>
      </c>
    </row>
    <row r="44" spans="1:103" ht="15.4" customHeight="1" x14ac:dyDescent="0.2">
      <c r="A44" s="163">
        <v>2</v>
      </c>
      <c r="B44" s="5">
        <f>AVERAGE(B16:B25)</f>
        <v>2.3200000000000003</v>
      </c>
      <c r="C44" s="5">
        <f>AVERAGE(C16:C25)</f>
        <v>-2.29</v>
      </c>
      <c r="D44" s="11">
        <f>AVERAGE(D16:D25)</f>
        <v>-4.3100000000000005</v>
      </c>
      <c r="E44" s="5">
        <f>AVERAGE(E16:E25)</f>
        <v>-1.0900000000000001</v>
      </c>
      <c r="F44" s="11">
        <f>AVERAGE(F16:F25)</f>
        <v>0.87999999999999989</v>
      </c>
      <c r="G44" s="5">
        <f>AVERAGE(G16:G25)</f>
        <v>6.0000000000000053E-2</v>
      </c>
      <c r="H44" s="167">
        <f>AVERAGE(H16:H25)</f>
        <v>-2.2500000000000058E-2</v>
      </c>
      <c r="I44" s="167">
        <f>SUM(I16:I25)</f>
        <v>5.2</v>
      </c>
      <c r="J44" s="166">
        <f>AVERAGE(J16:J25)</f>
        <v>88.5</v>
      </c>
      <c r="K44" s="165">
        <f>AVERAGE(K16:K25)</f>
        <v>83.6</v>
      </c>
      <c r="L44" s="165">
        <f>AVERAGE(L16:L25)</f>
        <v>87.7</v>
      </c>
      <c r="M44" s="157">
        <f>SUM(M16:M25)</f>
        <v>4</v>
      </c>
      <c r="N44" s="164">
        <f>AVERAGE(N16:N25)</f>
        <v>1.6666666666666667</v>
      </c>
      <c r="O44" s="163">
        <v>2</v>
      </c>
      <c r="P44" s="11">
        <v>-1.4189880952380955</v>
      </c>
      <c r="Q44" s="11">
        <v>6.3574999999999999</v>
      </c>
      <c r="R44" s="156">
        <v>2007</v>
      </c>
      <c r="S44" s="11">
        <v>-14.470000000000002</v>
      </c>
      <c r="T44" s="156">
        <v>1987</v>
      </c>
      <c r="U44" s="103">
        <f>AVERAGE(U16:U25)</f>
        <v>-2.2500000000000058E-2</v>
      </c>
      <c r="V44" s="177">
        <v>1.6490476190476189</v>
      </c>
      <c r="W44" s="176">
        <v>9.3800000000000008</v>
      </c>
      <c r="X44" s="175">
        <v>1993</v>
      </c>
      <c r="Y44" s="176">
        <v>-11.22</v>
      </c>
      <c r="Z44" s="175">
        <v>1987</v>
      </c>
      <c r="AA44" s="103">
        <f>AVERAGE(AA16:AA25)</f>
        <v>2.3200000000000003</v>
      </c>
      <c r="AB44" s="158">
        <v>2</v>
      </c>
      <c r="AC44" s="157">
        <v>-5.0657142857142858</v>
      </c>
      <c r="AD44" s="11">
        <v>3.0900000000000007</v>
      </c>
      <c r="AE44" s="156" t="s">
        <v>94</v>
      </c>
      <c r="AF44" s="11">
        <v>-17.610000000000003</v>
      </c>
      <c r="AG44" s="156" t="s">
        <v>93</v>
      </c>
      <c r="AH44" s="103">
        <f>AVERAGE(AH16:AH25)</f>
        <v>-2.29</v>
      </c>
      <c r="AI44" s="158">
        <v>2</v>
      </c>
      <c r="AJ44" s="157">
        <v>-5.8659523809523817</v>
      </c>
      <c r="AK44" s="11">
        <v>2.6399999999999997</v>
      </c>
      <c r="AL44" s="156" t="s">
        <v>99</v>
      </c>
      <c r="AM44" s="11">
        <v>-18.360000000000003</v>
      </c>
      <c r="AN44" s="156" t="s">
        <v>93</v>
      </c>
      <c r="AO44" s="103">
        <f>AVERAGE(AO16:AO25)</f>
        <v>-4.3100000000000005</v>
      </c>
      <c r="AP44" s="155">
        <v>11.4375</v>
      </c>
      <c r="AQ44" s="154">
        <v>33.5</v>
      </c>
      <c r="AR44" s="153">
        <v>2007</v>
      </c>
      <c r="AS44" s="152">
        <f>SUM(AS16:AS25)</f>
        <v>5.2</v>
      </c>
      <c r="BM44" s="70"/>
      <c r="BN44" s="19" t="s">
        <v>37</v>
      </c>
      <c r="BO44" s="174"/>
      <c r="BP44" s="173">
        <f>VALUE(J55)</f>
        <v>100</v>
      </c>
      <c r="BQ44" s="148"/>
      <c r="BR44" s="147"/>
      <c r="BS44"/>
      <c r="BW44" s="171">
        <v>2016</v>
      </c>
      <c r="BX44" s="170">
        <v>-1.1991935483870964</v>
      </c>
      <c r="BY44" s="169">
        <v>41</v>
      </c>
      <c r="BZ44" s="20">
        <v>2006</v>
      </c>
      <c r="CA44" s="168">
        <v>-6.625</v>
      </c>
      <c r="CC44" s="171">
        <v>2016</v>
      </c>
      <c r="CD44" s="170">
        <v>1.7774193548387101</v>
      </c>
      <c r="CE44" s="169">
        <v>41</v>
      </c>
      <c r="CF44" s="20">
        <v>2010</v>
      </c>
      <c r="CG44" s="172">
        <v>-3.0096774193548392</v>
      </c>
      <c r="CI44" s="171">
        <v>2016</v>
      </c>
      <c r="CJ44" s="170">
        <v>-5.183870967741937</v>
      </c>
      <c r="CK44" s="169">
        <v>41</v>
      </c>
      <c r="CL44" s="20">
        <v>2006</v>
      </c>
      <c r="CM44" s="168">
        <v>-10.441935483870967</v>
      </c>
      <c r="CO44" s="171">
        <v>2016</v>
      </c>
      <c r="CP44" s="170">
        <v>-6.280645161290324</v>
      </c>
      <c r="CQ44" s="169">
        <v>41</v>
      </c>
      <c r="CR44" s="20">
        <v>2006</v>
      </c>
      <c r="CS44" s="172">
        <v>-10.845161290322581</v>
      </c>
      <c r="CU44" s="171">
        <v>2016</v>
      </c>
      <c r="CV44" s="170">
        <v>37.799999999999997</v>
      </c>
      <c r="CW44" s="169">
        <v>41</v>
      </c>
      <c r="CX44" s="20">
        <v>2017</v>
      </c>
      <c r="CY44" s="168">
        <v>15.3</v>
      </c>
    </row>
    <row r="45" spans="1:103" ht="15.4" customHeight="1" thickBot="1" x14ac:dyDescent="0.25">
      <c r="A45" s="163">
        <v>3</v>
      </c>
      <c r="B45" s="5">
        <f>AVERAGE(B25:B36)</f>
        <v>4.8083333333333327</v>
      </c>
      <c r="C45" s="5">
        <f>AVERAGE(C25:C36)</f>
        <v>-0.86666666666666681</v>
      </c>
      <c r="D45" s="11">
        <f>AVERAGE(D25:D36)</f>
        <v>-1.6833333333333336</v>
      </c>
      <c r="E45" s="5">
        <f>AVERAGE(E25:E36)</f>
        <v>1.3749999999999998</v>
      </c>
      <c r="F45" s="11">
        <f>AVERAGE(F25:F36)</f>
        <v>3.75</v>
      </c>
      <c r="G45" s="5">
        <f>AVERAGE(G25:G36)</f>
        <v>2.4666666666666663</v>
      </c>
      <c r="H45" s="167">
        <f>AVERAGE(H25:H36)</f>
        <v>2.5145833333333334</v>
      </c>
      <c r="I45" s="167">
        <f>SUM(I26:I36)</f>
        <v>5.8</v>
      </c>
      <c r="J45" s="166">
        <f>AVERAGE(J25:J36)</f>
        <v>84.5</v>
      </c>
      <c r="K45" s="165">
        <f>AVERAGE(K25:K36)</f>
        <v>76.25</v>
      </c>
      <c r="L45" s="165">
        <f>AVERAGE(L25:L36)</f>
        <v>81.25</v>
      </c>
      <c r="M45" s="157">
        <f>SUM(M26:M36)</f>
        <v>4</v>
      </c>
      <c r="N45" s="164">
        <f>AVERAGE(N26:N36)</f>
        <v>2.75</v>
      </c>
      <c r="O45" s="163">
        <v>3</v>
      </c>
      <c r="P45" s="11">
        <v>-1.8036255411255411</v>
      </c>
      <c r="Q45" s="11">
        <v>6.5727272727272723</v>
      </c>
      <c r="R45" s="156">
        <v>2002</v>
      </c>
      <c r="S45" s="11">
        <v>-10.509090909090911</v>
      </c>
      <c r="T45" s="156">
        <v>2006</v>
      </c>
      <c r="U45" s="103">
        <f>AVERAGE(U26:U36)</f>
        <v>2.7454545454545456</v>
      </c>
      <c r="V45" s="162">
        <v>1.0785714285714285</v>
      </c>
      <c r="W45" s="161">
        <v>9.1454545454545446</v>
      </c>
      <c r="X45" s="160">
        <v>2002</v>
      </c>
      <c r="Y45" s="161">
        <v>-7.1454545454545446</v>
      </c>
      <c r="Z45" s="160">
        <v>1996</v>
      </c>
      <c r="AA45" s="159">
        <f>AVERAGE(AA26:AA36)</f>
        <v>5.0636363636363635</v>
      </c>
      <c r="AB45" s="158">
        <v>3</v>
      </c>
      <c r="AC45" s="157">
        <v>-5.4116883116883114</v>
      </c>
      <c r="AD45" s="11">
        <v>2.4363636363636365</v>
      </c>
      <c r="AE45" s="156" t="s">
        <v>98</v>
      </c>
      <c r="AF45" s="11">
        <v>-16.345454545454544</v>
      </c>
      <c r="AG45" s="156" t="s">
        <v>97</v>
      </c>
      <c r="AH45" s="159">
        <f>AVERAGE(AH26:AH36)</f>
        <v>-0.62727272727272732</v>
      </c>
      <c r="AI45" s="158">
        <v>3</v>
      </c>
      <c r="AJ45" s="157">
        <v>-5.8768398268398263</v>
      </c>
      <c r="AK45" s="11">
        <v>2.4363636363636365</v>
      </c>
      <c r="AL45" s="156" t="s">
        <v>98</v>
      </c>
      <c r="AM45" s="11">
        <v>-16.881818181818183</v>
      </c>
      <c r="AN45" s="156" t="s">
        <v>97</v>
      </c>
      <c r="AO45" s="103">
        <f>AVERAGE(AO26:AO36)</f>
        <v>-1.281818181818182</v>
      </c>
      <c r="AP45" s="155">
        <v>14.550000000000002</v>
      </c>
      <c r="AQ45" s="154">
        <v>38.799999999999997</v>
      </c>
      <c r="AR45" s="153">
        <v>1995</v>
      </c>
      <c r="AS45" s="152">
        <f>SUM(AS26:AS36)</f>
        <v>5.8</v>
      </c>
      <c r="BM45" s="70"/>
      <c r="BN45" s="151" t="s">
        <v>29</v>
      </c>
      <c r="BO45" s="150"/>
      <c r="BP45" s="149">
        <f>VALUE(J56)</f>
        <v>55</v>
      </c>
      <c r="BQ45" s="148"/>
      <c r="BR45" s="147"/>
      <c r="BS45"/>
      <c r="BW45" s="146">
        <v>2017</v>
      </c>
      <c r="BX45" s="145">
        <v>-5.6</v>
      </c>
      <c r="BY45" s="144">
        <v>42</v>
      </c>
      <c r="BZ45" s="143">
        <v>1985</v>
      </c>
      <c r="CA45" s="142">
        <v>-8.5225806451612893</v>
      </c>
      <c r="CC45" s="146">
        <v>2017</v>
      </c>
      <c r="CD45" s="145">
        <v>-1.5</v>
      </c>
      <c r="CE45" s="144">
        <v>42</v>
      </c>
      <c r="CF45" s="143">
        <v>1985</v>
      </c>
      <c r="CG45" s="142">
        <v>-3.8838709677419332</v>
      </c>
      <c r="CI45" s="146">
        <v>2017</v>
      </c>
      <c r="CJ45" s="145">
        <v>-10.1</v>
      </c>
      <c r="CK45" s="144">
        <v>42</v>
      </c>
      <c r="CL45" s="143">
        <v>1985</v>
      </c>
      <c r="CM45" s="142">
        <v>-13.467741935483867</v>
      </c>
      <c r="CO45" s="146">
        <v>2017</v>
      </c>
      <c r="CP45" s="145">
        <v>-10.7</v>
      </c>
      <c r="CQ45" s="144">
        <v>42</v>
      </c>
      <c r="CR45" s="143">
        <v>1985</v>
      </c>
      <c r="CS45" s="142">
        <v>-14.070967741935483</v>
      </c>
      <c r="CU45" s="146">
        <v>2017</v>
      </c>
      <c r="CV45" s="145">
        <v>15.3</v>
      </c>
      <c r="CW45" s="144">
        <v>42</v>
      </c>
      <c r="CX45" s="143">
        <v>1991</v>
      </c>
      <c r="CY45" s="142">
        <v>12.500000000000002</v>
      </c>
    </row>
    <row r="46" spans="1:103" ht="15.4" customHeight="1" thickBot="1" x14ac:dyDescent="0.25">
      <c r="A46" s="136" t="s">
        <v>96</v>
      </c>
      <c r="B46" s="141">
        <f>AVERAGE(B6:B36)</f>
        <v>5.2032258064516137</v>
      </c>
      <c r="C46" s="141">
        <f>AVERAGE(C6:C36)</f>
        <v>-0.24838709677419377</v>
      </c>
      <c r="D46" s="131">
        <f>AVERAGE(D6:D36)</f>
        <v>-1.5193548387096769</v>
      </c>
      <c r="E46" s="141">
        <f>AVERAGE(E6:E36)</f>
        <v>1.6225806451612905</v>
      </c>
      <c r="F46" s="131">
        <f>AVERAGE(F6:F36)</f>
        <v>3.3677419354838709</v>
      </c>
      <c r="G46" s="141">
        <f>AVERAGE(G6:G36)</f>
        <v>2.5774193548387099</v>
      </c>
      <c r="H46" s="140">
        <f>AVERAGE(H6:H36)</f>
        <v>2.536290322580645</v>
      </c>
      <c r="I46" s="140">
        <f>SUM(I6:I36)</f>
        <v>30.999999999999996</v>
      </c>
      <c r="J46" s="139">
        <f>AVERAGE(J6:J36)</f>
        <v>86.451612903225808</v>
      </c>
      <c r="K46" s="138">
        <f>AVERAGE(K6:K36)</f>
        <v>81.354838709677423</v>
      </c>
      <c r="L46" s="138">
        <f>AVERAGE(L6:L36)</f>
        <v>84.290322580645167</v>
      </c>
      <c r="M46" s="132">
        <f>SUM(M6:M36)</f>
        <v>8</v>
      </c>
      <c r="N46" s="137">
        <f>AVERAGE(N6:N36)</f>
        <v>2.2857142857142856</v>
      </c>
      <c r="O46" s="136" t="s">
        <v>95</v>
      </c>
      <c r="P46" s="131">
        <v>-1.6750384024577571</v>
      </c>
      <c r="Q46" s="131">
        <v>3.6403225806451602</v>
      </c>
      <c r="R46" s="130">
        <v>2007</v>
      </c>
      <c r="S46" s="131">
        <v>-9.8451612903225811</v>
      </c>
      <c r="T46" s="130">
        <v>1987</v>
      </c>
      <c r="U46" s="126">
        <f>AVERAGE(U6:U36)</f>
        <v>2.536290322580645</v>
      </c>
      <c r="V46" s="135">
        <v>1.265284178187404</v>
      </c>
      <c r="W46" s="131">
        <v>6.3129032258064504</v>
      </c>
      <c r="X46" s="130">
        <v>2007</v>
      </c>
      <c r="Y46" s="131">
        <v>-5.4387096774193537</v>
      </c>
      <c r="Z46" s="134">
        <v>1987</v>
      </c>
      <c r="AA46" s="126">
        <f>AVERAGE(AA6:AA36)</f>
        <v>5.2032258064516137</v>
      </c>
      <c r="AB46" s="133" t="s">
        <v>95</v>
      </c>
      <c r="AC46" s="132">
        <v>-5.2505376344086008</v>
      </c>
      <c r="AD46" s="131">
        <v>0.98064516129032198</v>
      </c>
      <c r="AE46" s="130" t="s">
        <v>94</v>
      </c>
      <c r="AF46" s="131">
        <v>-14.82258064516129</v>
      </c>
      <c r="AG46" s="130" t="s">
        <v>93</v>
      </c>
      <c r="AH46" s="126">
        <f>AVERAGE(AH6:AH36)</f>
        <v>-0.24838709677419377</v>
      </c>
      <c r="AI46" s="133" t="s">
        <v>95</v>
      </c>
      <c r="AJ46" s="132">
        <v>-5.9268817204301074</v>
      </c>
      <c r="AK46" s="131">
        <v>-0.20000000000000004</v>
      </c>
      <c r="AL46" s="130" t="s">
        <v>94</v>
      </c>
      <c r="AM46" s="131">
        <v>-15.383870967741936</v>
      </c>
      <c r="AN46" s="130" t="s">
        <v>93</v>
      </c>
      <c r="AO46" s="126">
        <f>AVERAGE(AO6:AO36)</f>
        <v>-1.5193548387096769</v>
      </c>
      <c r="AP46" s="129">
        <v>40.097499999999997</v>
      </c>
      <c r="AQ46" s="128">
        <v>68.400000000000006</v>
      </c>
      <c r="AR46" s="127">
        <v>2007</v>
      </c>
      <c r="AS46" s="126">
        <f>SUM(AS6:AS36)</f>
        <v>30.999999999999996</v>
      </c>
      <c r="BM46" s="125" t="s">
        <v>86</v>
      </c>
      <c r="BN46" s="124" t="s">
        <v>16</v>
      </c>
      <c r="BO46" s="123" t="s">
        <v>11</v>
      </c>
      <c r="BP46" s="123" t="s">
        <v>16</v>
      </c>
      <c r="BQ46" s="122" t="s">
        <v>11</v>
      </c>
      <c r="BR46" s="121" t="s">
        <v>17</v>
      </c>
      <c r="BS46" s="120" t="s">
        <v>11</v>
      </c>
      <c r="BW46" s="118">
        <v>2018</v>
      </c>
      <c r="BX46" s="117">
        <v>2.5</v>
      </c>
      <c r="BY46" s="116">
        <v>43</v>
      </c>
      <c r="BZ46" s="115">
        <v>1987</v>
      </c>
      <c r="CA46" s="114">
        <v>-9.8451612903225811</v>
      </c>
      <c r="CC46" s="118">
        <v>2018</v>
      </c>
      <c r="CD46" s="117">
        <v>5.2</v>
      </c>
      <c r="CE46" s="116">
        <v>43</v>
      </c>
      <c r="CF46" s="115">
        <v>1987</v>
      </c>
      <c r="CG46" s="114">
        <v>-5.4387096774193537</v>
      </c>
      <c r="CI46" s="118">
        <v>2018</v>
      </c>
      <c r="CJ46" s="117">
        <v>-0.2</v>
      </c>
      <c r="CK46" s="116">
        <v>43</v>
      </c>
      <c r="CL46" s="115">
        <v>1987</v>
      </c>
      <c r="CM46" s="119">
        <v>-14.82258064516129</v>
      </c>
      <c r="CO46" s="118">
        <v>2018</v>
      </c>
      <c r="CP46" s="117">
        <v>-1.5</v>
      </c>
      <c r="CQ46" s="116">
        <v>43</v>
      </c>
      <c r="CR46" s="115">
        <v>1987</v>
      </c>
      <c r="CS46" s="119">
        <v>-15.383870967741936</v>
      </c>
      <c r="CU46" s="118">
        <v>2018</v>
      </c>
      <c r="CV46" s="117">
        <v>31</v>
      </c>
      <c r="CW46" s="116">
        <v>43</v>
      </c>
      <c r="CX46" s="115">
        <v>1990</v>
      </c>
      <c r="CY46" s="114">
        <v>12.4</v>
      </c>
    </row>
    <row r="47" spans="1:103" ht="15.75" thickBot="1" x14ac:dyDescent="0.25">
      <c r="A47" s="113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84" t="s">
        <v>92</v>
      </c>
      <c r="P47" s="84"/>
      <c r="Q47" s="110"/>
      <c r="R47" s="110"/>
      <c r="S47" s="110"/>
      <c r="T47" s="110"/>
      <c r="U47" s="5">
        <f>MAX(U6:U36)</f>
        <v>7.9999999999999991</v>
      </c>
      <c r="V47" s="84"/>
      <c r="W47" s="84"/>
      <c r="X47" s="110"/>
      <c r="Y47" s="110"/>
      <c r="Z47" s="110"/>
      <c r="AA47" s="5">
        <f>MAX(AA6:AA36)</f>
        <v>11.4</v>
      </c>
      <c r="AB47" s="5"/>
      <c r="AC47" s="75"/>
      <c r="AD47" s="75"/>
      <c r="AE47" s="75"/>
      <c r="AF47" s="75"/>
      <c r="AG47" s="75"/>
      <c r="AH47" s="75">
        <f>MAX(AH6:AH36)</f>
        <v>5</v>
      </c>
      <c r="AI47" s="75"/>
      <c r="AJ47" s="5"/>
      <c r="AK47" s="5"/>
      <c r="AL47" s="5"/>
      <c r="AM47" s="5"/>
      <c r="AN47" s="5"/>
      <c r="AO47" s="111">
        <f>MAX(AO6:AO36)</f>
        <v>5.3</v>
      </c>
      <c r="AP47" s="110"/>
      <c r="AQ47" s="110"/>
      <c r="AR47" s="110"/>
      <c r="AS47" s="5">
        <f>MAX(AS6:AS36)</f>
        <v>15.2</v>
      </c>
      <c r="BM47" s="98"/>
      <c r="BN47" s="109"/>
      <c r="BO47" s="108"/>
      <c r="BP47" s="108"/>
      <c r="BQ47" s="7"/>
      <c r="BR47" s="107" t="s">
        <v>91</v>
      </c>
      <c r="BS47" s="106"/>
      <c r="BW47" s="1" t="s">
        <v>90</v>
      </c>
      <c r="BX47" s="5">
        <f>AVERAGE(BX4:BX46)</f>
        <v>-1.5788259564891223</v>
      </c>
      <c r="BY47" s="1" t="s">
        <v>89</v>
      </c>
      <c r="CA47" s="103">
        <v>-1.6</v>
      </c>
      <c r="CC47" s="1" t="s">
        <v>90</v>
      </c>
      <c r="CD47" s="5">
        <f>AVERAGE(CD4:CD46)</f>
        <v>1.3562640660165042</v>
      </c>
      <c r="CE47" s="1" t="s">
        <v>89</v>
      </c>
      <c r="CG47" s="103">
        <v>1.3</v>
      </c>
      <c r="CI47" s="105" t="s">
        <v>90</v>
      </c>
      <c r="CJ47" s="104">
        <f>AVERAGE(CJ4:CJ29)</f>
        <v>-5.4939205955334991</v>
      </c>
      <c r="CK47" s="105" t="s">
        <v>89</v>
      </c>
      <c r="CL47" s="105"/>
      <c r="CM47" s="104">
        <f>AVERAGE(CJ4:CJ43)</f>
        <v>-5.1299193548387088</v>
      </c>
      <c r="CO47" s="1" t="s">
        <v>90</v>
      </c>
      <c r="CP47" s="5">
        <f>AVERAGE(CP4:CP46)</f>
        <v>-5.8233308327081774</v>
      </c>
      <c r="CQ47" s="1" t="s">
        <v>89</v>
      </c>
      <c r="CS47" s="103">
        <v>-5.8</v>
      </c>
      <c r="CU47" s="1" t="s">
        <v>90</v>
      </c>
      <c r="CV47" s="5">
        <f>AVERAGE(CV4:CV46)</f>
        <v>38.020930232558143</v>
      </c>
      <c r="CW47" s="1" t="s">
        <v>89</v>
      </c>
      <c r="CY47" s="103">
        <v>39</v>
      </c>
    </row>
    <row r="48" spans="1:103" ht="13.5" thickBot="1" x14ac:dyDescent="0.25">
      <c r="A48" s="1" t="s">
        <v>88</v>
      </c>
      <c r="O48" s="102" t="s">
        <v>87</v>
      </c>
      <c r="P48" s="102"/>
      <c r="Q48" s="100"/>
      <c r="R48" s="100"/>
      <c r="S48" s="101"/>
      <c r="T48" s="63"/>
      <c r="U48" s="58">
        <f>MIN(U6:U36)</f>
        <v>-4.2750000000000004</v>
      </c>
      <c r="V48" s="102"/>
      <c r="W48" s="102"/>
      <c r="X48" s="100"/>
      <c r="Y48" s="100"/>
      <c r="Z48" s="101"/>
      <c r="AA48" s="58">
        <f>MIN(AA6:AA36)</f>
        <v>-1.6</v>
      </c>
      <c r="AB48" s="102"/>
      <c r="AC48" s="75"/>
      <c r="AD48" s="100"/>
      <c r="AE48" s="100"/>
      <c r="AF48" s="101"/>
      <c r="AG48" s="75"/>
      <c r="AH48" s="75">
        <f>MIN(AH6:AH36)</f>
        <v>-7.9</v>
      </c>
      <c r="AI48" s="75"/>
      <c r="AJ48" s="63"/>
      <c r="AK48" s="100"/>
      <c r="AL48" s="100"/>
      <c r="AM48" s="101"/>
      <c r="AN48" s="63"/>
      <c r="AO48" s="75">
        <f>MIN(AO6:AO36)</f>
        <v>-10.4</v>
      </c>
      <c r="AP48" s="100"/>
      <c r="AQ48" s="100"/>
      <c r="AR48" s="63"/>
      <c r="AS48" s="5">
        <f>MIN(AS6:AS36)</f>
        <v>0</v>
      </c>
      <c r="AU48" s="1" t="s">
        <v>86</v>
      </c>
      <c r="BD48" s="99" t="s">
        <v>85</v>
      </c>
      <c r="BE48" s="99"/>
      <c r="BG48" s="1" t="s">
        <v>84</v>
      </c>
      <c r="BJ48" s="1" t="s">
        <v>83</v>
      </c>
      <c r="BM48" s="98" t="s">
        <v>82</v>
      </c>
      <c r="BN48" s="97" t="s">
        <v>14</v>
      </c>
      <c r="BO48" s="96">
        <f>VALUE(BB69)</f>
        <v>15.053763440860216</v>
      </c>
      <c r="BP48" s="95" t="s">
        <v>81</v>
      </c>
      <c r="BQ48" s="93">
        <f>VALUE(BB78)</f>
        <v>19.35483870967742</v>
      </c>
      <c r="BR48" s="94" t="s">
        <v>14</v>
      </c>
      <c r="BS48" s="93">
        <f>VALUE(AZ69)</f>
        <v>15.053763440860216</v>
      </c>
      <c r="BY48" s="41" t="s">
        <v>80</v>
      </c>
      <c r="BZ48" s="41"/>
      <c r="CA48" s="40">
        <f>+CA47-8.5</f>
        <v>-10.1</v>
      </c>
      <c r="CE48" s="41" t="s">
        <v>80</v>
      </c>
      <c r="CF48" s="41"/>
      <c r="CG48" s="41">
        <f>+CG47-8.5</f>
        <v>-7.2</v>
      </c>
      <c r="CI48" s="63"/>
      <c r="CJ48" s="58"/>
      <c r="CK48" s="41" t="s">
        <v>80</v>
      </c>
      <c r="CL48" s="41"/>
      <c r="CM48" s="92">
        <f>+CM47-8.5</f>
        <v>-13.629919354838709</v>
      </c>
      <c r="CQ48" s="41" t="s">
        <v>80</v>
      </c>
      <c r="CR48" s="41"/>
      <c r="CS48" s="41">
        <f>+CS47-8.5</f>
        <v>-14.3</v>
      </c>
      <c r="CW48" s="41" t="s">
        <v>79</v>
      </c>
      <c r="CX48" s="41"/>
      <c r="CY48" s="41">
        <v>12</v>
      </c>
    </row>
    <row r="49" spans="1:103" x14ac:dyDescent="0.2">
      <c r="A49" s="91" t="s">
        <v>78</v>
      </c>
      <c r="O49" s="90" t="s">
        <v>77</v>
      </c>
      <c r="P49" s="90"/>
      <c r="Q49" s="83"/>
      <c r="R49" s="63"/>
      <c r="S49" s="83"/>
      <c r="T49" s="63"/>
      <c r="U49" s="58">
        <v>-1.6</v>
      </c>
      <c r="V49" s="90"/>
      <c r="W49" s="90"/>
      <c r="X49" s="83"/>
      <c r="Y49" s="63"/>
      <c r="Z49" s="83"/>
      <c r="AA49" s="58">
        <v>1.3</v>
      </c>
      <c r="AB49" s="90"/>
      <c r="AC49" s="75"/>
      <c r="AD49" s="83"/>
      <c r="AE49" s="63"/>
      <c r="AF49" s="83"/>
      <c r="AG49" s="75"/>
      <c r="AH49" s="75">
        <v>-6.7</v>
      </c>
      <c r="AI49" s="75"/>
      <c r="AJ49" s="63"/>
      <c r="AK49" s="83"/>
      <c r="AL49" s="63"/>
      <c r="AM49" s="83"/>
      <c r="AN49" s="63"/>
      <c r="AO49" s="72">
        <v>-5.8</v>
      </c>
      <c r="AP49" s="63"/>
      <c r="AQ49" s="83"/>
      <c r="AR49" s="63"/>
      <c r="AS49" s="1">
        <v>39</v>
      </c>
      <c r="AU49" s="3" t="s">
        <v>17</v>
      </c>
      <c r="AV49" s="3"/>
      <c r="AW49" s="4" t="s">
        <v>16</v>
      </c>
      <c r="AX49" s="4" t="s">
        <v>16</v>
      </c>
      <c r="AY49" s="3" t="s">
        <v>17</v>
      </c>
      <c r="AZ49" s="4" t="s">
        <v>16</v>
      </c>
      <c r="BA49" s="3" t="s">
        <v>17</v>
      </c>
      <c r="BB49" s="4" t="s">
        <v>16</v>
      </c>
      <c r="BC49" s="3" t="s">
        <v>17</v>
      </c>
      <c r="BD49" s="41"/>
      <c r="BE49" s="41" t="s">
        <v>12</v>
      </c>
      <c r="BF49" s="41" t="s">
        <v>11</v>
      </c>
      <c r="BG49" s="46"/>
      <c r="BH49" s="46" t="s">
        <v>12</v>
      </c>
      <c r="BI49" s="46" t="s">
        <v>11</v>
      </c>
      <c r="BJ49" s="44"/>
      <c r="BK49" s="44" t="s">
        <v>12</v>
      </c>
      <c r="BL49" s="44" t="s">
        <v>11</v>
      </c>
      <c r="BM49" t="s">
        <v>76</v>
      </c>
      <c r="BN49" s="69" t="s">
        <v>75</v>
      </c>
      <c r="BO49" s="68">
        <f>VALUE(BB70)</f>
        <v>8.6021505376344098</v>
      </c>
      <c r="BP49" s="67" t="s">
        <v>74</v>
      </c>
      <c r="BQ49" s="65">
        <f>VALUE(BB79)</f>
        <v>29.032258064516132</v>
      </c>
      <c r="BR49" s="66">
        <v>1</v>
      </c>
      <c r="BS49" s="65">
        <f>VALUE(AZ70)</f>
        <v>0</v>
      </c>
      <c r="BY49" s="87" t="s">
        <v>73</v>
      </c>
      <c r="BZ49" s="87"/>
      <c r="CA49" s="89">
        <f>+CA47-4.6</f>
        <v>-6.1999999999999993</v>
      </c>
      <c r="CE49" s="87" t="s">
        <v>73</v>
      </c>
      <c r="CF49" s="87"/>
      <c r="CG49" s="87">
        <f>+CG47-4.6</f>
        <v>-3.3</v>
      </c>
      <c r="CI49" s="63"/>
      <c r="CJ49" s="58"/>
      <c r="CK49" s="87" t="s">
        <v>73</v>
      </c>
      <c r="CL49" s="87"/>
      <c r="CM49" s="88">
        <f>+CM47-4.6</f>
        <v>-9.7299193548387084</v>
      </c>
      <c r="CQ49" s="87" t="s">
        <v>73</v>
      </c>
      <c r="CR49" s="87"/>
      <c r="CS49" s="87">
        <f>+CS47-4.6</f>
        <v>-10.399999999999999</v>
      </c>
      <c r="CW49" s="87" t="s">
        <v>72</v>
      </c>
      <c r="CX49" s="87"/>
      <c r="CY49" s="87">
        <v>23</v>
      </c>
    </row>
    <row r="50" spans="1:103" ht="13.5" thickBot="1" x14ac:dyDescent="0.25">
      <c r="A50" s="86"/>
      <c r="B50" s="84" t="s">
        <v>71</v>
      </c>
      <c r="C50" s="85" t="s">
        <v>70</v>
      </c>
      <c r="D50" s="84" t="s">
        <v>69</v>
      </c>
      <c r="E50" s="84" t="s">
        <v>68</v>
      </c>
      <c r="F50" s="84" t="s">
        <v>67</v>
      </c>
      <c r="G50" s="84" t="s">
        <v>66</v>
      </c>
      <c r="H50" s="1" t="s">
        <v>65</v>
      </c>
      <c r="J50" s="1" t="s">
        <v>64</v>
      </c>
      <c r="O50" t="s">
        <v>63</v>
      </c>
      <c r="P50" t="s">
        <v>62</v>
      </c>
      <c r="Q50" s="83"/>
      <c r="R50" s="63"/>
      <c r="S50" s="83"/>
      <c r="T50" s="63"/>
      <c r="U50" s="63">
        <v>-3.7</v>
      </c>
      <c r="V50" s="63"/>
      <c r="W50" s="63"/>
      <c r="X50" s="63"/>
      <c r="Y50" s="63"/>
      <c r="Z50" s="63"/>
      <c r="AA50" s="75">
        <v>-0.8</v>
      </c>
      <c r="AB50" s="82"/>
      <c r="AC50" s="75"/>
      <c r="AD50" s="63"/>
      <c r="AE50" s="63"/>
      <c r="AF50" s="63"/>
      <c r="AG50" s="75"/>
      <c r="AH50" s="75">
        <v>-6.8000000000000007</v>
      </c>
      <c r="AI50" s="75"/>
      <c r="AJ50" s="63"/>
      <c r="AK50" s="63"/>
      <c r="AL50" s="63"/>
      <c r="AM50" s="63"/>
      <c r="AN50" s="63"/>
      <c r="AO50" s="72">
        <v>-7.9</v>
      </c>
      <c r="AP50" s="63"/>
      <c r="AQ50" s="63"/>
      <c r="AR50" s="63"/>
      <c r="AU50" s="3"/>
      <c r="AV50" s="3">
        <v>0</v>
      </c>
      <c r="AW50" s="4" t="s">
        <v>14</v>
      </c>
      <c r="AX50" s="4">
        <f t="shared" ref="AX50:BC50" si="0">COUNTIF(AX6:AX36,0)</f>
        <v>9</v>
      </c>
      <c r="AY50" s="3">
        <f t="shared" si="0"/>
        <v>9</v>
      </c>
      <c r="AZ50" s="4">
        <f t="shared" si="0"/>
        <v>2</v>
      </c>
      <c r="BA50" s="3">
        <f t="shared" si="0"/>
        <v>2</v>
      </c>
      <c r="BB50" s="4">
        <f t="shared" si="0"/>
        <v>3</v>
      </c>
      <c r="BC50" s="3">
        <f t="shared" si="0"/>
        <v>3</v>
      </c>
      <c r="BD50" s="41">
        <v>0</v>
      </c>
      <c r="BE50" s="41">
        <f>COUNTIF(BD6:BF36,0)</f>
        <v>1</v>
      </c>
      <c r="BF50" s="40">
        <f t="shared" ref="BF50:BF60" si="1">+BE50/$BE$61*100</f>
        <v>1.0752688172043012</v>
      </c>
      <c r="BG50" s="46">
        <v>0</v>
      </c>
      <c r="BH50" s="46">
        <f>COUNTIF(BG6:BI36,0)</f>
        <v>8</v>
      </c>
      <c r="BI50" s="45">
        <f>+BH50/$BH$60*100</f>
        <v>8.6021505376344098</v>
      </c>
      <c r="BJ50" s="44">
        <v>0</v>
      </c>
      <c r="BK50" s="44">
        <f>COUNTIF(BJ6:BL36,0)</f>
        <v>0</v>
      </c>
      <c r="BL50" s="43">
        <f>+BK50/$BK$60*100</f>
        <v>0</v>
      </c>
      <c r="BM50" s="70" t="s">
        <v>61</v>
      </c>
      <c r="BN50" s="69" t="s">
        <v>60</v>
      </c>
      <c r="BO50" s="68">
        <f>VALUE(BB71)</f>
        <v>2.1505376344086025</v>
      </c>
      <c r="BP50" s="67" t="s">
        <v>59</v>
      </c>
      <c r="BQ50" s="65">
        <f>VALUE(BB80)</f>
        <v>6.4516129032258061</v>
      </c>
      <c r="BR50" s="66">
        <v>2</v>
      </c>
      <c r="BS50" s="65">
        <f>VALUE(AZ71)</f>
        <v>21.50537634408602</v>
      </c>
      <c r="BY50" s="3" t="s">
        <v>58</v>
      </c>
      <c r="BZ50" s="3"/>
      <c r="CA50" s="25">
        <f>+CA47-2.1</f>
        <v>-3.7</v>
      </c>
      <c r="CE50" s="3" t="s">
        <v>58</v>
      </c>
      <c r="CF50" s="3"/>
      <c r="CG50" s="3">
        <f>+CG47-2.1</f>
        <v>-0.8</v>
      </c>
      <c r="CI50" s="63"/>
      <c r="CJ50" s="58"/>
      <c r="CK50" s="3" t="s">
        <v>58</v>
      </c>
      <c r="CL50" s="3"/>
      <c r="CM50" s="81">
        <f>+CM47-2.1</f>
        <v>-7.2299193548387084</v>
      </c>
      <c r="CQ50" s="3" t="s">
        <v>58</v>
      </c>
      <c r="CR50" s="3"/>
      <c r="CS50" s="3">
        <f>+CS47-2.1</f>
        <v>-7.9</v>
      </c>
      <c r="CW50" s="3" t="s">
        <v>57</v>
      </c>
      <c r="CX50" s="3"/>
      <c r="CY50" s="3">
        <v>27</v>
      </c>
    </row>
    <row r="51" spans="1:103" ht="15" x14ac:dyDescent="0.2">
      <c r="A51" s="17">
        <v>1</v>
      </c>
      <c r="B51" s="6">
        <f>+W6</f>
        <v>9.1</v>
      </c>
      <c r="C51" s="11">
        <v>-1.3690462962962964</v>
      </c>
      <c r="D51" s="5">
        <f>+H6</f>
        <v>4.6749999999999998</v>
      </c>
      <c r="E51" s="5">
        <f>+AO6</f>
        <v>1.9</v>
      </c>
      <c r="F51" s="5">
        <f>+AM6</f>
        <v>-17.600000000000001</v>
      </c>
      <c r="G51" s="5">
        <f>+I6</f>
        <v>0</v>
      </c>
      <c r="H51" s="80" t="s">
        <v>56</v>
      </c>
      <c r="I51" s="4"/>
      <c r="J51" s="77">
        <f>AVERAGE(J6:J36)</f>
        <v>86.451612903225808</v>
      </c>
      <c r="K51" s="77">
        <f>AVERAGE(K6:K36)</f>
        <v>81.354838709677423</v>
      </c>
      <c r="L51" s="77">
        <f>AVERAGE(L6:L36)</f>
        <v>84.290322580645167</v>
      </c>
      <c r="M51"/>
      <c r="N51"/>
      <c r="O51"/>
      <c r="P51" t="s">
        <v>55</v>
      </c>
      <c r="Q51" s="76"/>
      <c r="R51" s="63"/>
      <c r="S51" s="76"/>
      <c r="T51" s="63"/>
      <c r="U51" s="63">
        <v>0.5</v>
      </c>
      <c r="V51" s="63"/>
      <c r="W51" s="58"/>
      <c r="X51" s="63"/>
      <c r="Y51" s="58"/>
      <c r="Z51" s="63"/>
      <c r="AA51" s="75">
        <v>3.4000000000000004</v>
      </c>
      <c r="AB51" s="79"/>
      <c r="AC51" s="75"/>
      <c r="AD51" s="58"/>
      <c r="AE51" s="63"/>
      <c r="AF51" s="58"/>
      <c r="AG51" s="75"/>
      <c r="AH51" s="75">
        <v>-2.6</v>
      </c>
      <c r="AI51" s="75"/>
      <c r="AJ51" s="63"/>
      <c r="AK51" s="58"/>
      <c r="AL51" s="63"/>
      <c r="AM51" s="58"/>
      <c r="AN51" s="63"/>
      <c r="AO51" s="72">
        <v>-3.6999999999999997</v>
      </c>
      <c r="AP51" s="63"/>
      <c r="AQ51" s="58"/>
      <c r="AR51" s="63"/>
      <c r="AU51" s="3"/>
      <c r="AV51" s="3">
        <v>1</v>
      </c>
      <c r="AW51" s="39">
        <v>2</v>
      </c>
      <c r="AX51" s="4">
        <f>COUNTIF(AX6:AX36,2)</f>
        <v>5</v>
      </c>
      <c r="AY51" s="3">
        <f>COUNTIF(AY6:AY36,1)</f>
        <v>0</v>
      </c>
      <c r="AZ51" s="4">
        <f>COUNTIF(AZ6:AZ36,2)</f>
        <v>2</v>
      </c>
      <c r="BA51" s="3">
        <f>COUNTIF(BA6:BA36,1)</f>
        <v>0</v>
      </c>
      <c r="BB51" s="4">
        <f>COUNTIF(BB6:BB36,2)</f>
        <v>1</v>
      </c>
      <c r="BC51" s="3">
        <f>COUNTIF(BC6:BC36,1)</f>
        <v>0</v>
      </c>
      <c r="BD51" s="41">
        <v>1</v>
      </c>
      <c r="BE51" s="41">
        <f>COUNTIF(BD6:BF36,1)</f>
        <v>0</v>
      </c>
      <c r="BF51" s="40">
        <f t="shared" si="1"/>
        <v>0</v>
      </c>
      <c r="BG51" s="46">
        <v>1</v>
      </c>
      <c r="BH51" s="46">
        <f>COUNTIF(BG6:BI36,1)</f>
        <v>29</v>
      </c>
      <c r="BI51" s="45">
        <f t="shared" ref="BI51:BI59" si="2">+BH51/$BH$60*100</f>
        <v>31.182795698924732</v>
      </c>
      <c r="BJ51" s="44">
        <v>1</v>
      </c>
      <c r="BK51" s="44">
        <f>COUNTIF(BJ6:BL36,1)</f>
        <v>13</v>
      </c>
      <c r="BL51" s="43">
        <f t="shared" ref="BL51:BL59" si="3">+BK51/$BK$60*100</f>
        <v>13.978494623655912</v>
      </c>
      <c r="BM51" s="70"/>
      <c r="BN51" s="69" t="s">
        <v>54</v>
      </c>
      <c r="BO51" s="68">
        <f>VALUE(BB72)</f>
        <v>0</v>
      </c>
      <c r="BP51" s="67" t="s">
        <v>53</v>
      </c>
      <c r="BQ51" s="65">
        <f>VALUE(BB81)</f>
        <v>0</v>
      </c>
      <c r="BR51" s="66">
        <v>4</v>
      </c>
      <c r="BS51" s="65">
        <f>VALUE(AZ72)</f>
        <v>29.032258064516132</v>
      </c>
      <c r="BY51" s="1" t="s">
        <v>52</v>
      </c>
      <c r="CA51" s="1">
        <f>VALUE(CA50)</f>
        <v>-3.7</v>
      </c>
      <c r="CE51" s="1" t="s">
        <v>52</v>
      </c>
      <c r="CG51" s="1">
        <f>VALUE(CG50)</f>
        <v>-0.8</v>
      </c>
      <c r="CI51" s="63"/>
      <c r="CJ51" s="58"/>
      <c r="CK51" s="1" t="s">
        <v>52</v>
      </c>
      <c r="CM51" s="78">
        <f>VALUE(CM50)</f>
        <v>-7.2299193548387084</v>
      </c>
      <c r="CQ51" s="1" t="s">
        <v>52</v>
      </c>
      <c r="CS51" s="1">
        <f>VALUE(CS50)</f>
        <v>-7.9</v>
      </c>
      <c r="CW51" s="1" t="s">
        <v>52</v>
      </c>
      <c r="CY51" s="1">
        <f>VALUE(CY50)</f>
        <v>27</v>
      </c>
    </row>
    <row r="52" spans="1:103" ht="15" x14ac:dyDescent="0.2">
      <c r="A52" s="17">
        <v>2</v>
      </c>
      <c r="B52" s="6">
        <f>+W7</f>
        <v>8.6</v>
      </c>
      <c r="C52" s="11">
        <v>-1.4455370370370371</v>
      </c>
      <c r="D52" s="5">
        <f>+H7</f>
        <v>2.9249999999999998</v>
      </c>
      <c r="E52" s="5">
        <f>+AO7</f>
        <v>-5</v>
      </c>
      <c r="F52" s="5">
        <f>+AM7</f>
        <v>-21.7</v>
      </c>
      <c r="G52" s="5">
        <f>+I7</f>
        <v>0</v>
      </c>
      <c r="H52" s="4" t="s">
        <v>37</v>
      </c>
      <c r="I52" s="4"/>
      <c r="J52" s="77">
        <f>MAX(J6:J36)</f>
        <v>100</v>
      </c>
      <c r="K52" s="77">
        <f>MAX(K6:K36)</f>
        <v>100</v>
      </c>
      <c r="L52" s="77">
        <f>MAX(L6:L36)</f>
        <v>100</v>
      </c>
      <c r="M52"/>
      <c r="N52"/>
      <c r="O52" s="47" t="s">
        <v>51</v>
      </c>
      <c r="P52"/>
      <c r="Q52" s="76"/>
      <c r="R52" s="63"/>
      <c r="S52" s="76"/>
      <c r="T52" s="63"/>
      <c r="U52" s="63">
        <f>COUNTIF(U6:U36,"&gt;0,5")</f>
        <v>23</v>
      </c>
      <c r="V52" s="63"/>
      <c r="W52" s="58"/>
      <c r="X52" s="63"/>
      <c r="Y52" s="58"/>
      <c r="Z52" s="63"/>
      <c r="AA52" s="75">
        <f>COUNTIF(AA6:AA36,"&gt;3,4")</f>
        <v>22</v>
      </c>
      <c r="AB52" s="75"/>
      <c r="AC52" s="75"/>
      <c r="AD52" s="58"/>
      <c r="AE52" s="63"/>
      <c r="AF52" s="58"/>
      <c r="AG52" s="75"/>
      <c r="AH52" s="75">
        <f>COUNTIF(AH6:AH36,"&gt;2,6")</f>
        <v>9</v>
      </c>
      <c r="AI52" s="75"/>
      <c r="AJ52" s="63"/>
      <c r="AK52" s="58"/>
      <c r="AL52" s="63"/>
      <c r="AM52" s="58"/>
      <c r="AN52" s="63"/>
      <c r="AO52" s="72">
        <f>COUNTIF(AO6:AO36,"&gt;3,7")</f>
        <v>3</v>
      </c>
      <c r="AP52" s="63"/>
      <c r="AQ52" s="58"/>
      <c r="AR52" s="63"/>
      <c r="AU52" s="3"/>
      <c r="AV52" s="3">
        <v>2</v>
      </c>
      <c r="AW52" s="39">
        <v>4</v>
      </c>
      <c r="AX52" s="4">
        <f>COUNTIF(AX6:AX36,4)</f>
        <v>0</v>
      </c>
      <c r="AY52" s="3">
        <f>COUNTIF(AY6:AY36,2)</f>
        <v>7</v>
      </c>
      <c r="AZ52" s="4">
        <f>COUNTIF(AZ6:AZ36,4)</f>
        <v>0</v>
      </c>
      <c r="BA52" s="3">
        <f>COUNTIF(BA6:BA36,2)</f>
        <v>4</v>
      </c>
      <c r="BB52" s="4">
        <f>COUNTIF(BB6:BB36,4)</f>
        <v>2</v>
      </c>
      <c r="BC52" s="3">
        <f>COUNTIF(BC6:BC36,2)</f>
        <v>9</v>
      </c>
      <c r="BD52" s="41">
        <v>2</v>
      </c>
      <c r="BE52" s="41">
        <f>COUNTIF(BD6:BF36,2)</f>
        <v>7</v>
      </c>
      <c r="BF52" s="40">
        <f t="shared" si="1"/>
        <v>7.5268817204301079</v>
      </c>
      <c r="BG52" s="46">
        <v>2</v>
      </c>
      <c r="BH52" s="46">
        <f>COUNTIF(BG6:BI36,2)</f>
        <v>38</v>
      </c>
      <c r="BI52" s="45">
        <f t="shared" si="2"/>
        <v>40.86021505376344</v>
      </c>
      <c r="BJ52" s="44">
        <v>2</v>
      </c>
      <c r="BK52" s="44">
        <f>COUNTIF(BJ6:BL36,2)</f>
        <v>46</v>
      </c>
      <c r="BL52" s="43">
        <f t="shared" si="3"/>
        <v>49.462365591397848</v>
      </c>
      <c r="BM52" s="70"/>
      <c r="BN52" s="69" t="s">
        <v>50</v>
      </c>
      <c r="BO52" s="68">
        <f>VALUE(BB73)</f>
        <v>1.0752688172043012</v>
      </c>
      <c r="BP52" s="67" t="s">
        <v>49</v>
      </c>
      <c r="BQ52" s="65">
        <f>VALUE(BB82)</f>
        <v>0</v>
      </c>
      <c r="BR52" s="66">
        <v>7</v>
      </c>
      <c r="BS52" s="65">
        <f>VALUE(AZ73)</f>
        <v>18.27956989247312</v>
      </c>
      <c r="BY52" s="1" t="s">
        <v>48</v>
      </c>
      <c r="CA52" s="1">
        <f>VALUE(CA53)</f>
        <v>0.5</v>
      </c>
      <c r="CE52" s="1" t="s">
        <v>48</v>
      </c>
      <c r="CG52" s="1">
        <f>VALUE(CG53)</f>
        <v>3.4000000000000004</v>
      </c>
      <c r="CI52" s="63"/>
      <c r="CJ52" s="58"/>
      <c r="CK52" s="1" t="s">
        <v>48</v>
      </c>
      <c r="CM52" s="78">
        <f>VALUE(CM53)</f>
        <v>-3.0299193548387087</v>
      </c>
      <c r="CQ52" s="1" t="s">
        <v>48</v>
      </c>
      <c r="CS52" s="1">
        <f>VALUE(CS53)</f>
        <v>-3.6999999999999997</v>
      </c>
      <c r="CW52" s="1" t="s">
        <v>48</v>
      </c>
      <c r="CY52" s="1">
        <f>VALUE(CY53)</f>
        <v>47</v>
      </c>
    </row>
    <row r="53" spans="1:103" ht="15" x14ac:dyDescent="0.2">
      <c r="A53" s="17">
        <v>3</v>
      </c>
      <c r="B53" s="6">
        <f>+W8</f>
        <v>10.7</v>
      </c>
      <c r="C53" s="11">
        <v>-1.5724444444444443</v>
      </c>
      <c r="D53" s="5">
        <f>+H8</f>
        <v>3.35</v>
      </c>
      <c r="E53" s="5">
        <f>+AO8</f>
        <v>-3.5</v>
      </c>
      <c r="F53" s="5">
        <f>+AM8</f>
        <v>-21.3</v>
      </c>
      <c r="G53" s="5">
        <f>+I8</f>
        <v>0.5</v>
      </c>
      <c r="H53" s="4" t="s">
        <v>29</v>
      </c>
      <c r="I53" s="4"/>
      <c r="J53" s="77">
        <f>MIN(J6:J36)</f>
        <v>63</v>
      </c>
      <c r="K53" s="77">
        <f>MIN(K6:K36)</f>
        <v>55</v>
      </c>
      <c r="L53" s="77">
        <f>MIN(L6:L36)</f>
        <v>60</v>
      </c>
      <c r="N53"/>
      <c r="O53" s="47" t="s">
        <v>47</v>
      </c>
      <c r="P53"/>
      <c r="Q53" s="76"/>
      <c r="R53" s="63"/>
      <c r="S53" s="76"/>
      <c r="T53" s="63"/>
      <c r="U53" s="63">
        <f>COUNTIF(U6:U36,"&lt;-3,7")</f>
        <v>1</v>
      </c>
      <c r="V53" s="63"/>
      <c r="W53" s="58"/>
      <c r="X53" s="63"/>
      <c r="Y53" s="58"/>
      <c r="Z53" s="63"/>
      <c r="AA53" s="75">
        <f>COUNTIF(AA6:AA36,"&lt;-0,8")</f>
        <v>1</v>
      </c>
      <c r="AB53" s="75"/>
      <c r="AC53" s="75"/>
      <c r="AD53" s="58"/>
      <c r="AE53" s="63"/>
      <c r="AF53" s="58"/>
      <c r="AG53" s="75"/>
      <c r="AH53" s="75">
        <f>COUNTIF(AH6:AH36,"&lt;-6,8")</f>
        <v>2</v>
      </c>
      <c r="AI53" s="75"/>
      <c r="AJ53" s="63"/>
      <c r="AK53" s="58"/>
      <c r="AL53" s="63"/>
      <c r="AM53" s="58"/>
      <c r="AN53" s="63"/>
      <c r="AO53" s="72">
        <f>COUNTIF(AO6:AO36,"&lt;-7,9")</f>
        <v>2</v>
      </c>
      <c r="AP53" s="63"/>
      <c r="AQ53" s="58"/>
      <c r="AR53" s="63"/>
      <c r="AU53" s="3"/>
      <c r="AV53" s="3">
        <v>4</v>
      </c>
      <c r="AW53" s="39">
        <v>7</v>
      </c>
      <c r="AX53" s="4">
        <f>COUNTIF(AX6:AX36,7)</f>
        <v>0</v>
      </c>
      <c r="AY53" s="3">
        <f>COUNTIF(AY6:AY36,4)</f>
        <v>6</v>
      </c>
      <c r="AZ53" s="4">
        <f>COUNTIF(AZ6:AZ36,7)</f>
        <v>0</v>
      </c>
      <c r="BA53" s="3">
        <f>COUNTIF(BA6:BA36,4)</f>
        <v>13</v>
      </c>
      <c r="BB53" s="4">
        <f>COUNTIF(BB6:BB36,7)</f>
        <v>0</v>
      </c>
      <c r="BC53" s="3">
        <f>COUNTIF(BC6:BC36,4)</f>
        <v>8</v>
      </c>
      <c r="BD53" s="41">
        <v>3</v>
      </c>
      <c r="BE53" s="41">
        <f>COUNTIF(BD6:BF36,3)</f>
        <v>2</v>
      </c>
      <c r="BF53" s="40">
        <f t="shared" si="1"/>
        <v>2.1505376344086025</v>
      </c>
      <c r="BG53" s="46">
        <v>3</v>
      </c>
      <c r="BH53" s="46">
        <f>COUNTIF(BG6:BI36,3)</f>
        <v>0</v>
      </c>
      <c r="BI53" s="45">
        <f t="shared" si="2"/>
        <v>0</v>
      </c>
      <c r="BJ53" s="44">
        <v>3</v>
      </c>
      <c r="BK53" s="44">
        <f>COUNTIF(BJ6:BL36,3)</f>
        <v>8</v>
      </c>
      <c r="BL53" s="43">
        <f t="shared" si="3"/>
        <v>8.6021505376344098</v>
      </c>
      <c r="BM53" s="70"/>
      <c r="BN53" s="69" t="s">
        <v>46</v>
      </c>
      <c r="BO53" s="68">
        <f>VALUE(BB74)</f>
        <v>0</v>
      </c>
      <c r="BP53" s="67" t="s">
        <v>45</v>
      </c>
      <c r="BQ53" s="65">
        <f>VALUE(BB83)</f>
        <v>0</v>
      </c>
      <c r="BR53" s="66">
        <v>9</v>
      </c>
      <c r="BS53" s="65">
        <f>VALUE(AZ74)</f>
        <v>5.376344086021505</v>
      </c>
      <c r="BY53" s="4" t="s">
        <v>44</v>
      </c>
      <c r="BZ53" s="4"/>
      <c r="CA53" s="2">
        <f>+CA47+2.1</f>
        <v>0.5</v>
      </c>
      <c r="CE53" s="4" t="s">
        <v>44</v>
      </c>
      <c r="CF53" s="4"/>
      <c r="CG53" s="4">
        <f>+CG47+2.1</f>
        <v>3.4000000000000004</v>
      </c>
      <c r="CI53" s="63"/>
      <c r="CJ53" s="58"/>
      <c r="CK53" s="4" t="s">
        <v>44</v>
      </c>
      <c r="CL53" s="4"/>
      <c r="CM53" s="74">
        <f>+CM47+2.1</f>
        <v>-3.0299193548387087</v>
      </c>
      <c r="CQ53" s="4" t="s">
        <v>44</v>
      </c>
      <c r="CR53" s="4"/>
      <c r="CS53" s="4">
        <f>+CS47+2.1</f>
        <v>-3.6999999999999997</v>
      </c>
      <c r="CW53" s="4" t="s">
        <v>43</v>
      </c>
      <c r="CX53" s="4"/>
      <c r="CY53" s="4">
        <v>47</v>
      </c>
    </row>
    <row r="54" spans="1:103" ht="15" x14ac:dyDescent="0.2">
      <c r="A54" s="17">
        <v>4</v>
      </c>
      <c r="B54" s="6">
        <f>+W9</f>
        <v>11.4</v>
      </c>
      <c r="C54" s="11">
        <v>-1.6451203703703703</v>
      </c>
      <c r="D54" s="5">
        <f>+H9</f>
        <v>5.5749999999999993</v>
      </c>
      <c r="E54" s="5">
        <f>+AO9</f>
        <v>1.3</v>
      </c>
      <c r="F54" s="5">
        <f>+AM9</f>
        <v>-27</v>
      </c>
      <c r="G54" s="5">
        <f>+I9</f>
        <v>1</v>
      </c>
      <c r="H54" s="3" t="s">
        <v>42</v>
      </c>
      <c r="I54" s="3"/>
      <c r="J54" s="60">
        <f>AVERAGE(J6:L35)</f>
        <v>84.422222222222217</v>
      </c>
      <c r="K54" s="5"/>
      <c r="L54" s="5"/>
      <c r="N54"/>
      <c r="Q54" s="73"/>
      <c r="R54" s="63"/>
      <c r="S54" s="73"/>
      <c r="T54" s="63"/>
      <c r="U54" s="63"/>
      <c r="V54" s="63"/>
      <c r="W54" s="73"/>
      <c r="X54" s="63"/>
      <c r="Y54" s="73"/>
      <c r="Z54" s="63"/>
      <c r="AA54" s="63"/>
      <c r="AB54" s="63"/>
      <c r="AC54" s="63"/>
      <c r="AD54" s="73"/>
      <c r="AE54" s="63"/>
      <c r="AF54" s="73"/>
      <c r="AG54" s="63"/>
      <c r="AH54" s="63"/>
      <c r="AI54" s="63"/>
      <c r="AJ54" s="63"/>
      <c r="AK54" s="73"/>
      <c r="AL54" s="63"/>
      <c r="AM54" s="73"/>
      <c r="AN54" s="63"/>
      <c r="AO54" s="72"/>
      <c r="AP54" s="63"/>
      <c r="AQ54" s="63"/>
      <c r="AR54" s="63"/>
      <c r="AU54" s="3"/>
      <c r="AV54" s="3">
        <v>7</v>
      </c>
      <c r="AW54" s="39">
        <v>9</v>
      </c>
      <c r="AX54" s="4">
        <f>COUNTIF(AX6:AX36,9)</f>
        <v>0</v>
      </c>
      <c r="AY54" s="3">
        <f>COUNTIF(AY6:AY36,7)</f>
        <v>5</v>
      </c>
      <c r="AZ54" s="4">
        <f>COUNTIF(AZ6:AZ36,9)</f>
        <v>1</v>
      </c>
      <c r="BA54" s="3">
        <f>COUNTIF(BA6:BA36,7)</f>
        <v>7</v>
      </c>
      <c r="BB54" s="4">
        <f>COUNTIF(BB6:BB36,9)</f>
        <v>0</v>
      </c>
      <c r="BC54" s="3">
        <f>COUNTIF(BC6:BC36,7)</f>
        <v>5</v>
      </c>
      <c r="BD54" s="41">
        <v>4</v>
      </c>
      <c r="BE54" s="41">
        <f>COUNTIF(BD6:BF36,4)</f>
        <v>8</v>
      </c>
      <c r="BF54" s="40">
        <f t="shared" si="1"/>
        <v>8.6021505376344098</v>
      </c>
      <c r="BG54" s="46">
        <v>4</v>
      </c>
      <c r="BH54" s="46">
        <f>COUNTIF(BG6:BI36,4)</f>
        <v>9</v>
      </c>
      <c r="BI54" s="45">
        <f t="shared" si="2"/>
        <v>9.67741935483871</v>
      </c>
      <c r="BJ54" s="44">
        <v>4</v>
      </c>
      <c r="BK54" s="44">
        <f>COUNTIF(BJ6:BL36,4)</f>
        <v>0</v>
      </c>
      <c r="BL54" s="43">
        <f t="shared" si="3"/>
        <v>0</v>
      </c>
      <c r="BM54" s="70"/>
      <c r="BN54" s="69" t="s">
        <v>41</v>
      </c>
      <c r="BO54" s="68">
        <f>VALUE(BB75)</f>
        <v>1.0752688172043012</v>
      </c>
      <c r="BP54" s="67" t="s">
        <v>40</v>
      </c>
      <c r="BQ54" s="65">
        <f>VALUE(BB84)</f>
        <v>1.0752688172043012</v>
      </c>
      <c r="BR54" s="66">
        <v>12</v>
      </c>
      <c r="BS54" s="65">
        <f>VALUE(AZ75)</f>
        <v>10.75268817204301</v>
      </c>
      <c r="BY54" s="46" t="s">
        <v>39</v>
      </c>
      <c r="BZ54" s="46"/>
      <c r="CA54" s="45">
        <f>+CA47+3.5</f>
        <v>1.9</v>
      </c>
      <c r="CE54" s="46" t="s">
        <v>39</v>
      </c>
      <c r="CF54" s="46"/>
      <c r="CG54" s="46">
        <f>+CG47+3.5</f>
        <v>4.8</v>
      </c>
      <c r="CI54" s="63"/>
      <c r="CJ54" s="58"/>
      <c r="CK54" s="46" t="s">
        <v>39</v>
      </c>
      <c r="CL54" s="46"/>
      <c r="CM54" s="71">
        <f>+CM47+3.5</f>
        <v>-1.6299193548387088</v>
      </c>
      <c r="CQ54" s="46" t="s">
        <v>39</v>
      </c>
      <c r="CR54" s="46"/>
      <c r="CS54" s="46">
        <f>+CS47+3.5</f>
        <v>-2.2999999999999998</v>
      </c>
      <c r="CW54" s="46" t="s">
        <v>38</v>
      </c>
      <c r="CX54" s="46"/>
      <c r="CY54" s="46">
        <v>63</v>
      </c>
    </row>
    <row r="55" spans="1:103" ht="15.75" thickBot="1" x14ac:dyDescent="0.25">
      <c r="A55" s="12">
        <v>5</v>
      </c>
      <c r="B55" s="6">
        <f>+W10</f>
        <v>11.4</v>
      </c>
      <c r="C55" s="26">
        <v>-1.6951049382716048</v>
      </c>
      <c r="D55" s="5">
        <f>+H10</f>
        <v>7.375</v>
      </c>
      <c r="E55" s="5">
        <f>+AO10</f>
        <v>3.4</v>
      </c>
      <c r="F55" s="5">
        <f>+AM10</f>
        <v>-24.5</v>
      </c>
      <c r="G55" s="5">
        <f>+I10</f>
        <v>0.5</v>
      </c>
      <c r="H55" s="3" t="s">
        <v>37</v>
      </c>
      <c r="I55" s="3"/>
      <c r="J55" s="60">
        <f>MAX(J6:L36)</f>
        <v>100</v>
      </c>
      <c r="K55" s="5"/>
      <c r="L55" s="5"/>
      <c r="M55"/>
      <c r="N55"/>
      <c r="O55"/>
      <c r="P55"/>
      <c r="Q55"/>
      <c r="R55" s="47" t="s">
        <v>36</v>
      </c>
      <c r="S55" s="47" t="s">
        <v>12</v>
      </c>
      <c r="T55" s="47" t="s">
        <v>35</v>
      </c>
      <c r="U55" s="47" t="s">
        <v>34</v>
      </c>
      <c r="V55"/>
      <c r="W55" s="47"/>
      <c r="X55" s="47"/>
      <c r="Y55" s="47"/>
      <c r="Z55" s="47"/>
      <c r="AO55" s="42"/>
      <c r="AU55" s="3"/>
      <c r="AV55" s="3">
        <v>9</v>
      </c>
      <c r="AW55" s="39">
        <v>11</v>
      </c>
      <c r="AX55" s="4">
        <f>COUNTIF(AX6:AX36,11)</f>
        <v>0</v>
      </c>
      <c r="AY55" s="3">
        <f>COUNTIF(AY6:AY36,9)</f>
        <v>2</v>
      </c>
      <c r="AZ55" s="4">
        <f>COUNTIF(AZ6:AZ36,11)</f>
        <v>0</v>
      </c>
      <c r="BA55" s="3">
        <f>COUNTIF(BA6:BA36,9)</f>
        <v>2</v>
      </c>
      <c r="BB55" s="4">
        <f>COUNTIF(BB6:BB36,11)</f>
        <v>0</v>
      </c>
      <c r="BC55" s="3">
        <f>COUNTIF(BC6:BC36,9)</f>
        <v>1</v>
      </c>
      <c r="BD55" s="41">
        <v>5</v>
      </c>
      <c r="BE55" s="41">
        <f>COUNTIF(BD6:BF36,5)</f>
        <v>3</v>
      </c>
      <c r="BF55" s="40">
        <f t="shared" si="1"/>
        <v>3.225806451612903</v>
      </c>
      <c r="BG55" s="46">
        <v>5</v>
      </c>
      <c r="BH55" s="46">
        <f>COUNTIF(BG6:BI36,5)</f>
        <v>1</v>
      </c>
      <c r="BI55" s="45">
        <f t="shared" si="2"/>
        <v>1.0752688172043012</v>
      </c>
      <c r="BJ55" s="44">
        <v>5</v>
      </c>
      <c r="BK55" s="44">
        <f>COUNTIF(BJ6:BL36,5)</f>
        <v>4</v>
      </c>
      <c r="BL55" s="43">
        <f t="shared" si="3"/>
        <v>4.3010752688172049</v>
      </c>
      <c r="BM55" s="70"/>
      <c r="BN55" s="69" t="s">
        <v>33</v>
      </c>
      <c r="BO55" s="68">
        <f>VALUE(BB76)</f>
        <v>5.376344086021505</v>
      </c>
      <c r="BP55" s="67" t="s">
        <v>32</v>
      </c>
      <c r="BQ55" s="65">
        <f>VALUE(BB85)</f>
        <v>6.4516129032258061</v>
      </c>
      <c r="BR55" s="66">
        <v>16</v>
      </c>
      <c r="BS55" s="65">
        <f>VALUE(AZ76)</f>
        <v>0</v>
      </c>
      <c r="BY55" s="61" t="s">
        <v>31</v>
      </c>
      <c r="BZ55" s="61"/>
      <c r="CA55" s="64">
        <f>+CA47+5</f>
        <v>3.4</v>
      </c>
      <c r="CE55" s="61" t="s">
        <v>31</v>
      </c>
      <c r="CF55" s="61"/>
      <c r="CG55" s="61">
        <f>+CG47+5</f>
        <v>6.3</v>
      </c>
      <c r="CI55" s="63"/>
      <c r="CJ55" s="58"/>
      <c r="CK55" s="61" t="s">
        <v>31</v>
      </c>
      <c r="CL55" s="61"/>
      <c r="CM55" s="62">
        <f>+CM47+5</f>
        <v>-0.12991935483870876</v>
      </c>
      <c r="CQ55" s="61" t="s">
        <v>31</v>
      </c>
      <c r="CR55" s="61"/>
      <c r="CS55" s="61">
        <f>+CS47+5</f>
        <v>-0.79999999999999982</v>
      </c>
      <c r="CW55" s="61" t="s">
        <v>30</v>
      </c>
      <c r="CX55" s="61"/>
      <c r="CY55" s="61">
        <v>90</v>
      </c>
    </row>
    <row r="56" spans="1:103" ht="15.75" thickBot="1" x14ac:dyDescent="0.25">
      <c r="A56" s="17">
        <v>6</v>
      </c>
      <c r="B56" s="6">
        <f>+W11</f>
        <v>12.2</v>
      </c>
      <c r="C56" s="11">
        <v>-1.7227561728395062</v>
      </c>
      <c r="D56" s="5">
        <f>+H11</f>
        <v>7.875</v>
      </c>
      <c r="E56" s="5">
        <f>+AO11</f>
        <v>5.3</v>
      </c>
      <c r="F56" s="5">
        <f>+AM11</f>
        <v>-28.5</v>
      </c>
      <c r="G56" s="5">
        <f>+I11</f>
        <v>0</v>
      </c>
      <c r="H56" s="3" t="s">
        <v>29</v>
      </c>
      <c r="I56" s="3"/>
      <c r="J56" s="60">
        <f>MIN(J6:L36)</f>
        <v>55</v>
      </c>
      <c r="K56" s="5"/>
      <c r="L56" s="5"/>
      <c r="M56" s="47" t="s">
        <v>28</v>
      </c>
      <c r="N56"/>
      <c r="O56"/>
      <c r="P56" s="47" t="s">
        <v>27</v>
      </c>
      <c r="Q56"/>
      <c r="R56" s="59">
        <f>SUMIF(U6:U36,"&gt;0")</f>
        <v>91.499999999999986</v>
      </c>
      <c r="S56">
        <f>COUNTIF(U6:U36,"&gt;3,0")</f>
        <v>14</v>
      </c>
      <c r="T56"/>
      <c r="U56">
        <f>R56-T56</f>
        <v>91.499999999999986</v>
      </c>
      <c r="V56"/>
      <c r="W56" s="58"/>
      <c r="X56"/>
      <c r="Y56"/>
      <c r="Z56"/>
      <c r="AO56" s="42"/>
      <c r="AU56" s="3"/>
      <c r="AV56" s="3">
        <v>12</v>
      </c>
      <c r="AW56" s="39">
        <v>13</v>
      </c>
      <c r="AX56" s="4">
        <f>COUNTIF(AX6:AX36,13)</f>
        <v>0</v>
      </c>
      <c r="AY56" s="3">
        <f>COUNTIF(AY6:AY36,12)</f>
        <v>2</v>
      </c>
      <c r="AZ56" s="4">
        <f>COUNTIF(AZ6:AZ36,13)</f>
        <v>0</v>
      </c>
      <c r="BA56" s="3">
        <f>COUNTIF(BA6:BA36,12)</f>
        <v>3</v>
      </c>
      <c r="BB56" s="4">
        <f>COUNTIF(BB6:BB36,13)</f>
        <v>1</v>
      </c>
      <c r="BC56" s="3">
        <f>COUNTIF(BC6:BC36,12)</f>
        <v>5</v>
      </c>
      <c r="BD56" s="41">
        <v>6</v>
      </c>
      <c r="BE56" s="41">
        <f>COUNTIF(BD6:BF36,6)</f>
        <v>4</v>
      </c>
      <c r="BF56" s="40">
        <f t="shared" si="1"/>
        <v>4.3010752688172049</v>
      </c>
      <c r="BG56" s="46">
        <v>6</v>
      </c>
      <c r="BH56" s="46">
        <f>COUNTIF(BG6:BI36,6)</f>
        <v>4</v>
      </c>
      <c r="BI56" s="45">
        <f t="shared" si="2"/>
        <v>4.3010752688172049</v>
      </c>
      <c r="BJ56" s="44">
        <v>6</v>
      </c>
      <c r="BK56" s="44">
        <f>COUNTIF(BJ6:BL36,6)</f>
        <v>3</v>
      </c>
      <c r="BL56" s="43">
        <f t="shared" si="3"/>
        <v>3.225806451612903</v>
      </c>
      <c r="BM56" s="57"/>
      <c r="BN56" s="56" t="s">
        <v>26</v>
      </c>
      <c r="BO56" s="55">
        <f>VALUE(BB77)</f>
        <v>4.3010752688172049</v>
      </c>
      <c r="BP56" s="54" t="s">
        <v>0</v>
      </c>
      <c r="BQ56" s="52">
        <f>VALUE(BB86)</f>
        <v>100.00000000000001</v>
      </c>
      <c r="BR56" s="53"/>
      <c r="BS56" s="52">
        <f>VALUE(AZ77)</f>
        <v>100</v>
      </c>
    </row>
    <row r="57" spans="1:103" ht="15.75" thickBot="1" x14ac:dyDescent="0.25">
      <c r="A57" s="17">
        <v>7</v>
      </c>
      <c r="B57" s="6">
        <f>+W12</f>
        <v>12.6</v>
      </c>
      <c r="C57" s="11">
        <v>-1.7299907407407404</v>
      </c>
      <c r="D57" s="5">
        <f>+H12</f>
        <v>5.2249999999999996</v>
      </c>
      <c r="E57" s="5">
        <f>+AO12</f>
        <v>1.9</v>
      </c>
      <c r="F57" s="5">
        <f>+AM12</f>
        <v>-29.8</v>
      </c>
      <c r="G57" s="5">
        <f>+I12</f>
        <v>1.9</v>
      </c>
      <c r="J57" s="6"/>
      <c r="K57" s="6"/>
      <c r="L57" s="5"/>
      <c r="M57"/>
      <c r="N57"/>
      <c r="O57"/>
      <c r="P57" s="47" t="s">
        <v>25</v>
      </c>
      <c r="Q57"/>
      <c r="R57">
        <f>SUMIF(U6:U36,"&gt;5")</f>
        <v>49.824999999999989</v>
      </c>
      <c r="S57">
        <f>COUNTIF(U6:U36,"&gt;3,0")</f>
        <v>14</v>
      </c>
      <c r="T57">
        <f>+S57*3</f>
        <v>42</v>
      </c>
      <c r="U57">
        <f>R57-T57</f>
        <v>7.8249999999999886</v>
      </c>
      <c r="V57"/>
      <c r="W57"/>
      <c r="X57"/>
      <c r="Y57"/>
      <c r="Z57"/>
      <c r="AO57" s="42"/>
      <c r="AU57" s="3"/>
      <c r="AV57" s="3">
        <v>16</v>
      </c>
      <c r="AW57" s="39">
        <v>16</v>
      </c>
      <c r="AX57" s="4">
        <f t="shared" ref="AX57:BC57" si="4">COUNTIF(AX6:AX36,16)</f>
        <v>1</v>
      </c>
      <c r="AY57" s="3">
        <f t="shared" si="4"/>
        <v>0</v>
      </c>
      <c r="AZ57" s="4">
        <f t="shared" si="4"/>
        <v>2</v>
      </c>
      <c r="BA57" s="3">
        <f t="shared" si="4"/>
        <v>0</v>
      </c>
      <c r="BB57" s="4">
        <f t="shared" si="4"/>
        <v>2</v>
      </c>
      <c r="BC57" s="3">
        <f t="shared" si="4"/>
        <v>0</v>
      </c>
      <c r="BD57" s="41">
        <v>7</v>
      </c>
      <c r="BE57" s="41">
        <f>COUNTIF(BD6:BF36,7)</f>
        <v>12</v>
      </c>
      <c r="BF57" s="40">
        <f t="shared" si="1"/>
        <v>12.903225806451612</v>
      </c>
      <c r="BG57" s="46">
        <v>7</v>
      </c>
      <c r="BH57" s="46">
        <f>COUNTIF(BG6:BI36,7)</f>
        <v>4</v>
      </c>
      <c r="BI57" s="45">
        <f t="shared" si="2"/>
        <v>4.3010752688172049</v>
      </c>
      <c r="BJ57" s="44">
        <v>7</v>
      </c>
      <c r="BK57" s="44">
        <f>COUNTIF(BJ6:BL36,7)</f>
        <v>6</v>
      </c>
      <c r="BL57" s="43">
        <f t="shared" si="3"/>
        <v>6.4516129032258061</v>
      </c>
      <c r="BM57" s="51" t="s">
        <v>24</v>
      </c>
      <c r="BN57" s="50"/>
      <c r="BO57" s="50" t="s">
        <v>23</v>
      </c>
      <c r="BP57" s="49" t="s">
        <v>11</v>
      </c>
      <c r="BQ57"/>
      <c r="BR57"/>
      <c r="BS57"/>
    </row>
    <row r="58" spans="1:103" ht="15" x14ac:dyDescent="0.2">
      <c r="A58" s="17">
        <v>8</v>
      </c>
      <c r="B58" s="6">
        <f>+W13</f>
        <v>13.2</v>
      </c>
      <c r="C58" s="11">
        <v>-1.6974845679012345</v>
      </c>
      <c r="D58" s="5">
        <f>+H13</f>
        <v>0.95</v>
      </c>
      <c r="E58" s="5">
        <f>+AO13</f>
        <v>0.9</v>
      </c>
      <c r="F58" s="5">
        <f>+AM13</f>
        <v>-30.8</v>
      </c>
      <c r="G58" s="5">
        <f>+I13</f>
        <v>0.9</v>
      </c>
      <c r="J58" s="6"/>
      <c r="K58" s="6"/>
      <c r="L58" s="5"/>
      <c r="M58"/>
      <c r="N58"/>
      <c r="O58"/>
      <c r="P58" s="47" t="s">
        <v>22</v>
      </c>
      <c r="Q58"/>
      <c r="R58">
        <f>SUMIF(U6:U36,"&gt;5")</f>
        <v>49.824999999999989</v>
      </c>
      <c r="S58">
        <f>COUNTIF(U6:U36,"&gt;5,0")</f>
        <v>8</v>
      </c>
      <c r="T58">
        <f>+S58*5</f>
        <v>40</v>
      </c>
      <c r="U58">
        <f>R58-T58</f>
        <v>9.8249999999999886</v>
      </c>
      <c r="V58"/>
      <c r="W58"/>
      <c r="X58"/>
      <c r="Y58"/>
      <c r="Z58"/>
      <c r="AO58" s="42"/>
      <c r="AW58" s="39">
        <v>18</v>
      </c>
      <c r="AX58" s="4">
        <f>COUNTIF(AX6:AX36,18)</f>
        <v>1</v>
      </c>
      <c r="AY58" s="3"/>
      <c r="AZ58" s="4">
        <f>COUNTIF(AZ6:AZ36,18)</f>
        <v>2</v>
      </c>
      <c r="BA58" s="3"/>
      <c r="BB58" s="4">
        <f>COUNTIF(BB6:BB36,18)</f>
        <v>1</v>
      </c>
      <c r="BC58" s="3"/>
      <c r="BD58" s="41">
        <v>8</v>
      </c>
      <c r="BE58" s="41">
        <f>COUNTIF(BD6:BF36,8)</f>
        <v>4</v>
      </c>
      <c r="BF58" s="40">
        <f t="shared" si="1"/>
        <v>4.3010752688172049</v>
      </c>
      <c r="BG58" s="46">
        <v>8</v>
      </c>
      <c r="BH58" s="46">
        <f>COUNTIF(BG6:BI36,8)</f>
        <v>0</v>
      </c>
      <c r="BI58" s="45">
        <f t="shared" si="2"/>
        <v>0</v>
      </c>
      <c r="BJ58" s="44">
        <v>8</v>
      </c>
      <c r="BK58" s="44">
        <f>COUNTIF(BJ6:BL36,8)</f>
        <v>0</v>
      </c>
      <c r="BL58" s="43">
        <f t="shared" si="3"/>
        <v>0</v>
      </c>
      <c r="BM58" s="48" t="s">
        <v>21</v>
      </c>
      <c r="BN58" s="28" t="s">
        <v>20</v>
      </c>
      <c r="BO58" s="28">
        <f>VALUE(BE50)</f>
        <v>1</v>
      </c>
      <c r="BP58" s="27">
        <f>VALUE(BF50)</f>
        <v>1.0752688172043012</v>
      </c>
      <c r="BQ58"/>
      <c r="BR58"/>
      <c r="BS58"/>
    </row>
    <row r="59" spans="1:103" ht="15" x14ac:dyDescent="0.2">
      <c r="A59" s="17">
        <v>9</v>
      </c>
      <c r="B59" s="6">
        <f>+W14</f>
        <v>9.8000000000000007</v>
      </c>
      <c r="C59" s="11">
        <v>-1.6914876543209874</v>
      </c>
      <c r="D59" s="5">
        <f>+H14</f>
        <v>5.65</v>
      </c>
      <c r="E59" s="5">
        <f>+AO14</f>
        <v>-0.8</v>
      </c>
      <c r="F59" s="5">
        <f>+AM14</f>
        <v>-33.299999999999997</v>
      </c>
      <c r="G59" s="5">
        <f>+I14</f>
        <v>0</v>
      </c>
      <c r="J59" s="6"/>
      <c r="K59" s="6"/>
      <c r="L59" s="5"/>
      <c r="M59"/>
      <c r="N59"/>
      <c r="O59"/>
      <c r="P59" s="47" t="s">
        <v>19</v>
      </c>
      <c r="Q59"/>
      <c r="R59">
        <f>SUMIF(U6:U36,"&gt;10")</f>
        <v>0</v>
      </c>
      <c r="S59">
        <f>COUNTIF(U6:U36,"&gt;10,0")</f>
        <v>0</v>
      </c>
      <c r="T59">
        <f>+S59*10</f>
        <v>0</v>
      </c>
      <c r="U59">
        <f>R59-T59</f>
        <v>0</v>
      </c>
      <c r="V59"/>
      <c r="W59"/>
      <c r="X59"/>
      <c r="Y59"/>
      <c r="Z59"/>
      <c r="AO59" s="42"/>
      <c r="AW59" s="39">
        <v>20</v>
      </c>
      <c r="AX59" s="4">
        <f>COUNTIF(AX6:AX36,20)</f>
        <v>7</v>
      </c>
      <c r="AY59" s="3"/>
      <c r="AZ59" s="4">
        <f>COUNTIF(AZ6:AZ36,20)</f>
        <v>6</v>
      </c>
      <c r="BA59" s="3"/>
      <c r="BB59" s="4">
        <f>COUNTIF(BB6:BB36,20)</f>
        <v>5</v>
      </c>
      <c r="BC59" s="3"/>
      <c r="BD59" s="41">
        <v>9</v>
      </c>
      <c r="BE59" s="41">
        <f>COUNTIF(BD6:BF36,9)</f>
        <v>5</v>
      </c>
      <c r="BF59" s="40">
        <f t="shared" si="1"/>
        <v>5.376344086021505</v>
      </c>
      <c r="BG59" s="46">
        <v>9</v>
      </c>
      <c r="BH59" s="46">
        <f>COUNTIF(BG6:BI36,9)</f>
        <v>0</v>
      </c>
      <c r="BI59" s="45">
        <f t="shared" si="2"/>
        <v>0</v>
      </c>
      <c r="BJ59" s="44">
        <v>9</v>
      </c>
      <c r="BK59" s="44">
        <f>COUNTIF(BJ6:BL36,9)</f>
        <v>13</v>
      </c>
      <c r="BL59" s="43">
        <f t="shared" si="3"/>
        <v>13.978494623655912</v>
      </c>
      <c r="BM59" s="38" t="s">
        <v>18</v>
      </c>
      <c r="BN59" s="19">
        <v>1</v>
      </c>
      <c r="BO59" s="19">
        <f>VALUE(BE51)</f>
        <v>0</v>
      </c>
      <c r="BP59" s="18">
        <f>VALUE(BF51)</f>
        <v>0</v>
      </c>
      <c r="BQ59"/>
      <c r="BR59"/>
      <c r="BS59"/>
    </row>
    <row r="60" spans="1:103" ht="15.75" thickBot="1" x14ac:dyDescent="0.25">
      <c r="A60" s="12">
        <v>10</v>
      </c>
      <c r="B60" s="6">
        <f>+W15</f>
        <v>13.2</v>
      </c>
      <c r="C60" s="26">
        <v>-1.7098148148148147</v>
      </c>
      <c r="D60" s="5">
        <f>+H15</f>
        <v>5.05</v>
      </c>
      <c r="E60" s="5">
        <f>+AO15</f>
        <v>4.7</v>
      </c>
      <c r="F60" s="5">
        <f>+AM15</f>
        <v>-26</v>
      </c>
      <c r="G60" s="5">
        <f>+I15</f>
        <v>15.2</v>
      </c>
      <c r="J60" s="6"/>
      <c r="K60" s="6"/>
      <c r="L60" s="5"/>
      <c r="M60" s="5"/>
      <c r="N60" s="5"/>
      <c r="AO60" s="42"/>
      <c r="AW60" s="39">
        <v>22</v>
      </c>
      <c r="AX60" s="4">
        <f>COUNTIF(AX6:AX36,22)</f>
        <v>8</v>
      </c>
      <c r="AY60" s="3"/>
      <c r="AZ60" s="4">
        <f>COUNTIF(AZ6:AZ36,22)</f>
        <v>9</v>
      </c>
      <c r="BA60" s="3"/>
      <c r="BB60" s="4">
        <f>COUNTIF(BB6:BB36,22)</f>
        <v>10</v>
      </c>
      <c r="BC60" s="3"/>
      <c r="BD60" s="41">
        <v>10</v>
      </c>
      <c r="BE60" s="41">
        <f>COUNTIF(BD6:BF36,10)</f>
        <v>47</v>
      </c>
      <c r="BF60" s="40">
        <f t="shared" si="1"/>
        <v>50.537634408602152</v>
      </c>
      <c r="BG60" s="46"/>
      <c r="BH60" s="46">
        <f>SUM(BH50:BH59)</f>
        <v>93</v>
      </c>
      <c r="BI60" s="45">
        <f>SUM(BI50:BI59)</f>
        <v>100</v>
      </c>
      <c r="BJ60" s="44"/>
      <c r="BK60" s="44">
        <f>SUM(BK50:BK59)</f>
        <v>93</v>
      </c>
      <c r="BL60" s="43">
        <f>SUM(BL50:BL59)</f>
        <v>100</v>
      </c>
      <c r="BM60" s="38"/>
      <c r="BN60" s="19">
        <v>2</v>
      </c>
      <c r="BO60" s="19">
        <f>VALUE(BE52)</f>
        <v>7</v>
      </c>
      <c r="BP60" s="18">
        <f>VALUE(BF52)</f>
        <v>7.5268817204301079</v>
      </c>
      <c r="BQ60"/>
      <c r="BR60"/>
      <c r="BS60"/>
    </row>
    <row r="61" spans="1:103" ht="15" x14ac:dyDescent="0.2">
      <c r="A61" s="17">
        <v>11</v>
      </c>
      <c r="B61" s="6">
        <f>+W16</f>
        <v>11.7</v>
      </c>
      <c r="C61" s="11">
        <v>-1.7246635802469135</v>
      </c>
      <c r="D61" s="5">
        <f>+H16</f>
        <v>3.95</v>
      </c>
      <c r="E61" s="5">
        <f>+AO16</f>
        <v>2.2999999999999998</v>
      </c>
      <c r="F61" s="5">
        <f>+AM16</f>
        <v>-21</v>
      </c>
      <c r="G61" s="5">
        <f>+I16</f>
        <v>0.9</v>
      </c>
      <c r="J61" s="6"/>
      <c r="K61" s="6"/>
      <c r="L61" s="5"/>
      <c r="M61" s="5"/>
      <c r="N61" s="5"/>
      <c r="AO61" s="42"/>
      <c r="AW61" s="39">
        <v>25</v>
      </c>
      <c r="AX61" s="4">
        <f>COUNTIF(AX6:AX36,25)</f>
        <v>0</v>
      </c>
      <c r="AY61" s="3"/>
      <c r="AZ61" s="4">
        <f>COUNTIF(AZ6:AZ36,25)</f>
        <v>2</v>
      </c>
      <c r="BA61" s="3"/>
      <c r="BB61" s="4">
        <f>COUNTIF(BB6:BB36,25)</f>
        <v>4</v>
      </c>
      <c r="BC61" s="3"/>
      <c r="BD61" s="41"/>
      <c r="BE61" s="41">
        <f>SUM(BE50:BE60)</f>
        <v>93</v>
      </c>
      <c r="BF61" s="40">
        <f>SUM(BF50:BF60)</f>
        <v>100</v>
      </c>
      <c r="BM61" s="38"/>
      <c r="BN61" s="19">
        <v>3</v>
      </c>
      <c r="BO61" s="19">
        <f>VALUE(BE53)</f>
        <v>2</v>
      </c>
      <c r="BP61" s="18">
        <f>VALUE(BF53)</f>
        <v>2.1505376344086025</v>
      </c>
      <c r="BQ61"/>
      <c r="BR61"/>
      <c r="BS61"/>
    </row>
    <row r="62" spans="1:103" ht="15" x14ac:dyDescent="0.2">
      <c r="A62" s="17">
        <v>12</v>
      </c>
      <c r="B62" s="6">
        <f>+W17</f>
        <v>12.4</v>
      </c>
      <c r="C62" s="11">
        <v>-1.7332746913580244</v>
      </c>
      <c r="D62" s="5">
        <f>+H17</f>
        <v>0.6</v>
      </c>
      <c r="E62" s="5">
        <f>+AO17</f>
        <v>0.8</v>
      </c>
      <c r="F62" s="5">
        <f>+AM17</f>
        <v>-27.2</v>
      </c>
      <c r="G62" s="5">
        <f>+I17</f>
        <v>0</v>
      </c>
      <c r="J62" s="6"/>
      <c r="K62" s="6"/>
      <c r="L62" s="5"/>
      <c r="M62" s="5"/>
      <c r="N62" s="5"/>
      <c r="AW62" s="39">
        <v>27</v>
      </c>
      <c r="AX62" s="4">
        <f>COUNTIF(AX6:AX36,27)</f>
        <v>0</v>
      </c>
      <c r="AY62" s="3"/>
      <c r="AZ62" s="4">
        <f>COUNTIF(AZ6:AZ36,27)</f>
        <v>0</v>
      </c>
      <c r="BA62" s="3"/>
      <c r="BB62" s="4">
        <f>COUNTIF(BB6:BB36,27)</f>
        <v>0</v>
      </c>
      <c r="BC62" s="3"/>
      <c r="BM62" s="38"/>
      <c r="BN62" s="19">
        <v>4</v>
      </c>
      <c r="BO62" s="19">
        <f>VALUE(BE54)</f>
        <v>8</v>
      </c>
      <c r="BP62" s="18">
        <f>VALUE(BF54)</f>
        <v>8.6021505376344098</v>
      </c>
      <c r="BQ62"/>
      <c r="BR62"/>
      <c r="BS62"/>
    </row>
    <row r="63" spans="1:103" ht="15" x14ac:dyDescent="0.2">
      <c r="A63" s="17">
        <v>13</v>
      </c>
      <c r="B63" s="6">
        <f>+W18</f>
        <v>11.1</v>
      </c>
      <c r="C63" s="11">
        <v>-1.7453395061728394</v>
      </c>
      <c r="D63" s="5">
        <f>+H18</f>
        <v>-1.2749999999999999</v>
      </c>
      <c r="E63" s="5">
        <f>+AO18</f>
        <v>-1.4</v>
      </c>
      <c r="F63" s="5">
        <f>+AM18</f>
        <v>-21.2</v>
      </c>
      <c r="G63" s="5">
        <f>+I18</f>
        <v>0</v>
      </c>
      <c r="J63" s="6"/>
      <c r="K63" s="6"/>
      <c r="L63" s="5"/>
      <c r="M63" s="5"/>
      <c r="N63" s="5"/>
      <c r="AW63" s="39">
        <v>29</v>
      </c>
      <c r="AX63" s="4">
        <f>COUNTIF(AX6:AX36,29)</f>
        <v>0</v>
      </c>
      <c r="AY63" s="3"/>
      <c r="AZ63" s="4">
        <f>COUNTIF(AZ6:AZ36,29)</f>
        <v>0</v>
      </c>
      <c r="BA63" s="3"/>
      <c r="BB63" s="4">
        <f>COUNTIF(BB6:BB36,29)</f>
        <v>0</v>
      </c>
      <c r="BC63" s="3"/>
      <c r="BM63" s="38"/>
      <c r="BN63" s="19">
        <v>5</v>
      </c>
      <c r="BO63" s="19">
        <f>VALUE(BE55)</f>
        <v>3</v>
      </c>
      <c r="BP63" s="18">
        <f>VALUE(BF55)</f>
        <v>3.225806451612903</v>
      </c>
      <c r="BQ63"/>
      <c r="BR63"/>
      <c r="BS63"/>
    </row>
    <row r="64" spans="1:103" ht="15" x14ac:dyDescent="0.2">
      <c r="A64" s="17">
        <v>14</v>
      </c>
      <c r="B64" s="6">
        <f>+W19</f>
        <v>10.7</v>
      </c>
      <c r="C64" s="11">
        <v>-1.7524135802469136</v>
      </c>
      <c r="D64" s="5">
        <f>+H19</f>
        <v>-4.2750000000000004</v>
      </c>
      <c r="E64" s="5">
        <f>+AO19</f>
        <v>-8.6999999999999993</v>
      </c>
      <c r="F64" s="5">
        <f>+AM19</f>
        <v>-29.7</v>
      </c>
      <c r="G64" s="5">
        <f>+I19</f>
        <v>0</v>
      </c>
      <c r="J64" s="6"/>
      <c r="K64" s="6"/>
      <c r="L64" s="5"/>
      <c r="M64" s="5"/>
      <c r="N64" s="5"/>
      <c r="AW64" s="39">
        <v>31</v>
      </c>
      <c r="AX64" s="4">
        <f>COUNTIF(AX6:AX36,31)</f>
        <v>0</v>
      </c>
      <c r="AY64" s="3"/>
      <c r="AZ64" s="4">
        <f>COUNTIF(AZ6:AZ36,31)</f>
        <v>0</v>
      </c>
      <c r="BA64" s="3"/>
      <c r="BB64" s="4">
        <f>COUNTIF(BB6:BB36,31)</f>
        <v>0</v>
      </c>
      <c r="BC64" s="3"/>
      <c r="BM64" s="38"/>
      <c r="BN64" s="19">
        <v>6</v>
      </c>
      <c r="BO64" s="19">
        <f>VALUE(BE56)</f>
        <v>4</v>
      </c>
      <c r="BP64" s="18">
        <f>VALUE(BF56)</f>
        <v>4.3010752688172049</v>
      </c>
      <c r="BQ64"/>
      <c r="BR64"/>
      <c r="BS64"/>
    </row>
    <row r="65" spans="1:71" ht="15.75" thickBot="1" x14ac:dyDescent="0.25">
      <c r="A65" s="12">
        <v>15</v>
      </c>
      <c r="B65" s="6">
        <f>+W20</f>
        <v>8</v>
      </c>
      <c r="C65" s="26">
        <v>-1.7595555555555555</v>
      </c>
      <c r="D65" s="5">
        <f>+H20</f>
        <v>-3.25</v>
      </c>
      <c r="E65" s="5">
        <f>+AO20</f>
        <v>-10.4</v>
      </c>
      <c r="F65" s="5">
        <f>+AM20</f>
        <v>-22.2</v>
      </c>
      <c r="G65" s="5">
        <f>+I20</f>
        <v>0</v>
      </c>
      <c r="J65" s="6"/>
      <c r="K65" s="6"/>
      <c r="L65" s="5"/>
      <c r="M65" s="5"/>
      <c r="N65" s="5"/>
      <c r="AW65" s="39">
        <v>34</v>
      </c>
      <c r="AX65" s="4">
        <f>COUNTIF(AX6:AX36,34)</f>
        <v>0</v>
      </c>
      <c r="AY65" s="3"/>
      <c r="AZ65" s="4">
        <f>COUNTIF(AZ6:AZ36,34)</f>
        <v>1</v>
      </c>
      <c r="BA65" s="3"/>
      <c r="BB65" s="4">
        <f>COUNTIF(BB6:BB36,34)</f>
        <v>0</v>
      </c>
      <c r="BC65" s="3"/>
      <c r="BM65" s="38"/>
      <c r="BN65" s="19">
        <v>7</v>
      </c>
      <c r="BO65" s="19">
        <f>VALUE(BE57)</f>
        <v>12</v>
      </c>
      <c r="BP65" s="18">
        <f>VALUE(BF57)</f>
        <v>12.903225806451612</v>
      </c>
      <c r="BQ65"/>
      <c r="BR65"/>
      <c r="BS65"/>
    </row>
    <row r="66" spans="1:71" ht="15" x14ac:dyDescent="0.2">
      <c r="A66" s="17">
        <v>16</v>
      </c>
      <c r="B66" s="6">
        <f>+W21</f>
        <v>9.3000000000000007</v>
      </c>
      <c r="C66" s="11">
        <v>-1.7354166666666666</v>
      </c>
      <c r="D66" s="5">
        <f>+H21</f>
        <v>-0.5</v>
      </c>
      <c r="E66" s="5">
        <f>+AO21</f>
        <v>-4.7</v>
      </c>
      <c r="F66" s="5">
        <f>+AM21</f>
        <v>-19</v>
      </c>
      <c r="G66" s="5">
        <f>+I21</f>
        <v>2.2000000000000002</v>
      </c>
      <c r="J66" s="6"/>
      <c r="K66" s="6"/>
      <c r="L66" s="5"/>
      <c r="M66" s="5"/>
      <c r="N66" s="5"/>
      <c r="AW66" s="39">
        <v>36</v>
      </c>
      <c r="AX66" s="4">
        <f>COUNTIF(AX6:AX36,36)</f>
        <v>0</v>
      </c>
      <c r="AY66" s="3"/>
      <c r="AZ66" s="4">
        <f>COUNTIF(AZ6:AZ36,36)</f>
        <v>4</v>
      </c>
      <c r="BA66" s="3"/>
      <c r="BB66" s="4">
        <f>COUNTIF(BB6:BB36,36)</f>
        <v>2</v>
      </c>
      <c r="BC66" s="3"/>
      <c r="BM66" s="38"/>
      <c r="BN66" s="19">
        <v>8</v>
      </c>
      <c r="BO66" s="19">
        <f>VALUE(BE58)</f>
        <v>4</v>
      </c>
      <c r="BP66" s="18">
        <f>VALUE(BF58)</f>
        <v>4.3010752688172049</v>
      </c>
      <c r="BQ66"/>
      <c r="BR66"/>
      <c r="BS66"/>
    </row>
    <row r="67" spans="1:71" ht="15" x14ac:dyDescent="0.2">
      <c r="A67" s="17">
        <v>17</v>
      </c>
      <c r="B67" s="6">
        <f>+W22</f>
        <v>13.6</v>
      </c>
      <c r="C67" s="11">
        <v>-1.7395</v>
      </c>
      <c r="D67" s="5">
        <f>+H22</f>
        <v>0.42500000000000004</v>
      </c>
      <c r="E67" s="5">
        <f>+AO22</f>
        <v>-6.2</v>
      </c>
      <c r="F67" s="5">
        <f>+AM22</f>
        <v>-21.5</v>
      </c>
      <c r="G67" s="5">
        <f>+I22</f>
        <v>0.7</v>
      </c>
      <c r="J67" s="6"/>
      <c r="K67" s="6"/>
      <c r="L67" s="5"/>
      <c r="M67" s="5"/>
      <c r="N67" s="5"/>
      <c r="AW67" s="4"/>
      <c r="AX67" s="4">
        <f t="shared" ref="AX67:BC67" si="5">SUM(AX50:AX66)</f>
        <v>31</v>
      </c>
      <c r="AY67" s="3">
        <f t="shared" si="5"/>
        <v>31</v>
      </c>
      <c r="AZ67" s="4">
        <f t="shared" si="5"/>
        <v>31</v>
      </c>
      <c r="BA67" s="3">
        <f t="shared" si="5"/>
        <v>31</v>
      </c>
      <c r="BB67" s="4">
        <f t="shared" si="5"/>
        <v>31</v>
      </c>
      <c r="BC67" s="3">
        <f t="shared" si="5"/>
        <v>31</v>
      </c>
      <c r="BM67" s="38"/>
      <c r="BN67" s="19">
        <v>9</v>
      </c>
      <c r="BO67" s="19">
        <f>VALUE(BE59)</f>
        <v>5</v>
      </c>
      <c r="BP67" s="18">
        <f>VALUE(BF59)</f>
        <v>5.376344086021505</v>
      </c>
      <c r="BQ67"/>
      <c r="BR67"/>
      <c r="BS67"/>
    </row>
    <row r="68" spans="1:71" ht="15.75" thickBot="1" x14ac:dyDescent="0.25">
      <c r="A68" s="17">
        <v>18</v>
      </c>
      <c r="B68" s="6">
        <f>+W23</f>
        <v>10.7</v>
      </c>
      <c r="C68" s="11">
        <v>-1.7286666666666666</v>
      </c>
      <c r="D68" s="5">
        <f>+H23</f>
        <v>2.4749999999999996</v>
      </c>
      <c r="E68" s="5">
        <f>+AO23</f>
        <v>-6.2</v>
      </c>
      <c r="F68" s="5">
        <f>+AM23</f>
        <v>-19.7</v>
      </c>
      <c r="G68" s="5">
        <f>+I23</f>
        <v>0.2</v>
      </c>
      <c r="J68" s="6"/>
      <c r="K68" s="6"/>
      <c r="L68" s="5"/>
      <c r="M68" s="5"/>
      <c r="N68" s="5"/>
      <c r="AU68" s="3" t="s">
        <v>17</v>
      </c>
      <c r="AV68" s="3"/>
      <c r="AW68" s="4" t="s">
        <v>16</v>
      </c>
      <c r="AX68" s="4"/>
      <c r="AY68" s="3"/>
      <c r="AZ68" s="1" t="s">
        <v>11</v>
      </c>
      <c r="BA68" s="3"/>
      <c r="BB68" s="1" t="s">
        <v>11</v>
      </c>
      <c r="BC68" s="3"/>
      <c r="BM68" s="38"/>
      <c r="BN68" s="14" t="s">
        <v>15</v>
      </c>
      <c r="BO68" s="14">
        <f>VALUE(BE60)</f>
        <v>47</v>
      </c>
      <c r="BP68" s="13">
        <f>VALUE(BF60)</f>
        <v>50.537634408602152</v>
      </c>
      <c r="BQ68"/>
      <c r="BR68"/>
      <c r="BS68"/>
    </row>
    <row r="69" spans="1:71" ht="15.75" thickBot="1" x14ac:dyDescent="0.25">
      <c r="A69" s="17">
        <v>19</v>
      </c>
      <c r="B69" s="6">
        <f>+W24</f>
        <v>15</v>
      </c>
      <c r="C69" s="11">
        <v>-1.6973333333333331</v>
      </c>
      <c r="D69" s="5">
        <f>+H24</f>
        <v>1.65</v>
      </c>
      <c r="E69" s="5">
        <f>+AO24</f>
        <v>-2.5</v>
      </c>
      <c r="F69" s="5">
        <f>+AM24</f>
        <v>-19.3</v>
      </c>
      <c r="G69" s="5">
        <f>+I24</f>
        <v>0.8</v>
      </c>
      <c r="J69" s="6"/>
      <c r="K69" s="6"/>
      <c r="L69" s="5"/>
      <c r="M69" s="5"/>
      <c r="N69" s="5"/>
      <c r="AU69" s="3"/>
      <c r="AV69" s="3">
        <v>0</v>
      </c>
      <c r="AW69" s="4" t="s">
        <v>14</v>
      </c>
      <c r="AX69" s="4">
        <f>+AX50+AZ50+BB50</f>
        <v>14</v>
      </c>
      <c r="AY69" s="3">
        <f>+AY50+BA50+BC50</f>
        <v>14</v>
      </c>
      <c r="AZ69" s="25">
        <f>+AY69/$AY$86*100</f>
        <v>15.053763440860216</v>
      </c>
      <c r="BA69" s="3"/>
      <c r="BB69" s="2">
        <f>+AX69/$AX$86*100</f>
        <v>15.053763440860216</v>
      </c>
      <c r="BC69" s="3"/>
      <c r="BM69" s="37"/>
      <c r="BN69" s="36" t="s">
        <v>0</v>
      </c>
      <c r="BO69" s="36">
        <f>VALUE(BE61)</f>
        <v>93</v>
      </c>
      <c r="BP69" s="35">
        <f>VALUE(BF61)</f>
        <v>100</v>
      </c>
      <c r="BQ69"/>
      <c r="BR69"/>
      <c r="BS69"/>
    </row>
    <row r="70" spans="1:71" ht="15.75" thickBot="1" x14ac:dyDescent="0.25">
      <c r="A70" s="12">
        <v>20</v>
      </c>
      <c r="B70" s="6">
        <f>+W25</f>
        <v>11.2</v>
      </c>
      <c r="C70" s="26">
        <v>-1.6892499999999999</v>
      </c>
      <c r="D70" s="5">
        <f>+H25</f>
        <v>-2.4999999999999981E-2</v>
      </c>
      <c r="E70" s="5">
        <f>+AO25</f>
        <v>-6.1</v>
      </c>
      <c r="F70" s="5">
        <f>+AM25</f>
        <v>-22.8</v>
      </c>
      <c r="G70" s="5">
        <f>+I25</f>
        <v>0.4</v>
      </c>
      <c r="J70" s="6"/>
      <c r="K70" s="6"/>
      <c r="L70" s="5"/>
      <c r="M70" s="5"/>
      <c r="N70" s="5"/>
      <c r="AU70" s="3"/>
      <c r="AV70" s="3">
        <v>1</v>
      </c>
      <c r="AW70" s="4">
        <v>2</v>
      </c>
      <c r="AX70" s="4">
        <f t="shared" ref="AX70:AY85" si="6">+AX51+AZ51+BB51</f>
        <v>8</v>
      </c>
      <c r="AY70" s="3">
        <f t="shared" si="6"/>
        <v>0</v>
      </c>
      <c r="AZ70" s="25">
        <f t="shared" ref="AZ70:AZ76" si="7">+AY70/$AY$86*100</f>
        <v>0</v>
      </c>
      <c r="BA70" s="3"/>
      <c r="BB70" s="2">
        <f t="shared" ref="BB70:BB85" si="8">+AX70/$AX$86*100</f>
        <v>8.6021505376344098</v>
      </c>
      <c r="BC70" s="3"/>
      <c r="BM70" s="34" t="s">
        <v>13</v>
      </c>
      <c r="BN70" s="33"/>
      <c r="BO70" s="32" t="s">
        <v>12</v>
      </c>
      <c r="BP70" s="31" t="s">
        <v>11</v>
      </c>
      <c r="BQ70"/>
      <c r="BR70"/>
      <c r="BS70"/>
    </row>
    <row r="71" spans="1:71" ht="15" x14ac:dyDescent="0.2">
      <c r="A71" s="17">
        <v>21</v>
      </c>
      <c r="B71" s="6">
        <f>+W26</f>
        <v>10.8</v>
      </c>
      <c r="C71" s="11">
        <v>-1.633472222222222</v>
      </c>
      <c r="D71" s="5">
        <f>+H26</f>
        <v>-1.625</v>
      </c>
      <c r="E71" s="5">
        <f>+AO26</f>
        <v>-2.9</v>
      </c>
      <c r="F71" s="5">
        <f>+AM26</f>
        <v>-17</v>
      </c>
      <c r="G71" s="5">
        <f>+I26</f>
        <v>3.8</v>
      </c>
      <c r="J71" s="6"/>
      <c r="K71" s="6"/>
      <c r="L71" s="5"/>
      <c r="M71" s="5"/>
      <c r="N71" s="5"/>
      <c r="AU71" s="3"/>
      <c r="AV71" s="3">
        <v>2</v>
      </c>
      <c r="AW71" s="4">
        <v>4</v>
      </c>
      <c r="AX71" s="4">
        <f t="shared" si="6"/>
        <v>2</v>
      </c>
      <c r="AY71" s="3">
        <f t="shared" si="6"/>
        <v>20</v>
      </c>
      <c r="AZ71" s="25">
        <f t="shared" si="7"/>
        <v>21.50537634408602</v>
      </c>
      <c r="BA71" s="3"/>
      <c r="BB71" s="2">
        <f t="shared" si="8"/>
        <v>2.1505376344086025</v>
      </c>
      <c r="BC71" s="3"/>
      <c r="BM71" s="30" t="s">
        <v>10</v>
      </c>
      <c r="BN71" s="29"/>
      <c r="BO71" s="28">
        <f>VALUE(BK50)</f>
        <v>0</v>
      </c>
      <c r="BP71" s="27">
        <f>VALUE(BL50)</f>
        <v>0</v>
      </c>
      <c r="BQ71"/>
      <c r="BR71"/>
      <c r="BS71"/>
    </row>
    <row r="72" spans="1:71" ht="15" x14ac:dyDescent="0.2">
      <c r="A72" s="17">
        <v>22</v>
      </c>
      <c r="B72" s="6">
        <f>+W27</f>
        <v>11</v>
      </c>
      <c r="C72" s="11">
        <v>-1.5801666666666669</v>
      </c>
      <c r="D72" s="5">
        <f>+H27</f>
        <v>-1.9249999999999998</v>
      </c>
      <c r="E72" s="5">
        <f>+AO27</f>
        <v>-2.9</v>
      </c>
      <c r="F72" s="5">
        <f>+AM27</f>
        <v>-24.8</v>
      </c>
      <c r="G72" s="5">
        <f>+I27</f>
        <v>0.1</v>
      </c>
      <c r="J72" s="6"/>
      <c r="K72" s="6"/>
      <c r="L72" s="5"/>
      <c r="M72" s="5"/>
      <c r="N72" s="5"/>
      <c r="AU72" s="3"/>
      <c r="AV72" s="3">
        <v>4</v>
      </c>
      <c r="AW72" s="4">
        <v>7</v>
      </c>
      <c r="AX72" s="4">
        <f t="shared" si="6"/>
        <v>0</v>
      </c>
      <c r="AY72" s="3">
        <f t="shared" si="6"/>
        <v>27</v>
      </c>
      <c r="AZ72" s="25">
        <f t="shared" si="7"/>
        <v>29.032258064516132</v>
      </c>
      <c r="BA72" s="3"/>
      <c r="BB72" s="2">
        <f t="shared" si="8"/>
        <v>0</v>
      </c>
      <c r="BC72" s="3"/>
      <c r="BM72" s="23" t="s">
        <v>9</v>
      </c>
      <c r="BN72" s="22"/>
      <c r="BO72" s="19">
        <f>VALUE(BK51)</f>
        <v>13</v>
      </c>
      <c r="BP72" s="18">
        <f>VALUE(BL51)</f>
        <v>13.978494623655912</v>
      </c>
      <c r="BQ72"/>
      <c r="BR72"/>
      <c r="BS72"/>
    </row>
    <row r="73" spans="1:71" ht="15" x14ac:dyDescent="0.2">
      <c r="A73" s="17">
        <v>23</v>
      </c>
      <c r="B73" s="6">
        <f>+W28</f>
        <v>11.2</v>
      </c>
      <c r="C73" s="11">
        <v>-1.5113333333333332</v>
      </c>
      <c r="D73" s="5">
        <f>+H28</f>
        <v>0.6</v>
      </c>
      <c r="E73" s="5">
        <f>+AO28</f>
        <v>-2.6</v>
      </c>
      <c r="F73" s="5">
        <f>+AM28</f>
        <v>-24.4</v>
      </c>
      <c r="G73" s="5">
        <f>+I28</f>
        <v>0</v>
      </c>
      <c r="J73" s="6"/>
      <c r="K73" s="6"/>
      <c r="L73" s="5"/>
      <c r="M73" s="5"/>
      <c r="N73" s="5"/>
      <c r="AU73" s="3"/>
      <c r="AV73" s="3">
        <v>7</v>
      </c>
      <c r="AW73" s="4">
        <v>9</v>
      </c>
      <c r="AX73" s="4">
        <f t="shared" si="6"/>
        <v>1</v>
      </c>
      <c r="AY73" s="3">
        <f t="shared" si="6"/>
        <v>17</v>
      </c>
      <c r="AZ73" s="25">
        <f t="shared" si="7"/>
        <v>18.27956989247312</v>
      </c>
      <c r="BA73" s="3"/>
      <c r="BB73" s="2">
        <f t="shared" si="8"/>
        <v>1.0752688172043012</v>
      </c>
      <c r="BC73" s="3"/>
      <c r="BM73" s="23" t="s">
        <v>8</v>
      </c>
      <c r="BN73" s="22"/>
      <c r="BO73" s="19">
        <f>VALUE(BK52)</f>
        <v>46</v>
      </c>
      <c r="BP73" s="18">
        <f>VALUE(BL52)</f>
        <v>49.462365591397848</v>
      </c>
      <c r="BQ73"/>
      <c r="BR73"/>
      <c r="BS73"/>
    </row>
    <row r="74" spans="1:71" ht="15" x14ac:dyDescent="0.2">
      <c r="A74" s="17">
        <v>24</v>
      </c>
      <c r="B74" s="6">
        <f>+W29</f>
        <v>11.7</v>
      </c>
      <c r="C74" s="11">
        <v>-1.433916666666667</v>
      </c>
      <c r="D74" s="5">
        <f>+H29</f>
        <v>4.1749999999999998</v>
      </c>
      <c r="E74" s="5">
        <f>+AO29</f>
        <v>-2</v>
      </c>
      <c r="F74" s="5">
        <f>+AM29</f>
        <v>-31.3</v>
      </c>
      <c r="G74" s="5">
        <f>+I29</f>
        <v>0</v>
      </c>
      <c r="J74" s="6"/>
      <c r="K74" s="6"/>
      <c r="L74" s="5"/>
      <c r="M74" s="5"/>
      <c r="N74" s="5"/>
      <c r="AU74" s="3"/>
      <c r="AV74" s="3">
        <v>9</v>
      </c>
      <c r="AW74" s="4">
        <v>11</v>
      </c>
      <c r="AX74" s="4">
        <f t="shared" si="6"/>
        <v>0</v>
      </c>
      <c r="AY74" s="3">
        <f t="shared" si="6"/>
        <v>5</v>
      </c>
      <c r="AZ74" s="25">
        <f t="shared" si="7"/>
        <v>5.376344086021505</v>
      </c>
      <c r="BA74" s="3"/>
      <c r="BB74" s="2">
        <f t="shared" si="8"/>
        <v>0</v>
      </c>
      <c r="BC74" s="3"/>
      <c r="BM74" s="23" t="s">
        <v>7</v>
      </c>
      <c r="BN74" s="22"/>
      <c r="BO74" s="19">
        <f>VALUE(BK53)</f>
        <v>8</v>
      </c>
      <c r="BP74" s="18">
        <f>VALUE(BL53)</f>
        <v>8.6021505376344098</v>
      </c>
      <c r="BQ74"/>
      <c r="BR74"/>
      <c r="BS74"/>
    </row>
    <row r="75" spans="1:71" ht="15.75" thickBot="1" x14ac:dyDescent="0.25">
      <c r="A75" s="12">
        <v>25</v>
      </c>
      <c r="B75" s="6">
        <f>+W30</f>
        <v>8.1999999999999993</v>
      </c>
      <c r="C75" s="26">
        <v>-1.4008888888888889</v>
      </c>
      <c r="D75" s="5">
        <f>+H30</f>
        <v>4.95</v>
      </c>
      <c r="E75" s="5">
        <f>+AO30</f>
        <v>2.1</v>
      </c>
      <c r="F75" s="5">
        <f>+AM30</f>
        <v>-23.9</v>
      </c>
      <c r="G75" s="5">
        <f>+I30</f>
        <v>0</v>
      </c>
      <c r="J75" s="6"/>
      <c r="K75" s="6"/>
      <c r="L75" s="5"/>
      <c r="M75" s="5"/>
      <c r="N75" s="5"/>
      <c r="AU75" s="3"/>
      <c r="AV75" s="3">
        <v>12</v>
      </c>
      <c r="AW75" s="4">
        <v>13</v>
      </c>
      <c r="AX75" s="4">
        <f t="shared" si="6"/>
        <v>1</v>
      </c>
      <c r="AY75" s="3">
        <f t="shared" si="6"/>
        <v>10</v>
      </c>
      <c r="AZ75" s="25">
        <f t="shared" si="7"/>
        <v>10.75268817204301</v>
      </c>
      <c r="BA75" s="3"/>
      <c r="BB75" s="2">
        <f t="shared" si="8"/>
        <v>1.0752688172043012</v>
      </c>
      <c r="BC75" s="3"/>
      <c r="BM75" s="23" t="s">
        <v>6</v>
      </c>
      <c r="BN75" s="22"/>
      <c r="BO75" s="19">
        <f>VALUE(BK54)</f>
        <v>0</v>
      </c>
      <c r="BP75" s="18">
        <f>VALUE(BL54)</f>
        <v>0</v>
      </c>
      <c r="BQ75"/>
      <c r="BR75"/>
      <c r="BS75"/>
    </row>
    <row r="76" spans="1:71" ht="15" x14ac:dyDescent="0.2">
      <c r="A76" s="17">
        <v>26</v>
      </c>
      <c r="B76" s="6">
        <f>+W31</f>
        <v>10.7</v>
      </c>
      <c r="C76" s="11">
        <v>-1.3820555555555554</v>
      </c>
      <c r="D76" s="5">
        <f>+H31</f>
        <v>2.5999999999999996</v>
      </c>
      <c r="E76" s="5">
        <f>+AO31</f>
        <v>-1.4</v>
      </c>
      <c r="F76" s="5">
        <f>+AM31</f>
        <v>-18.8</v>
      </c>
      <c r="G76" s="5">
        <f>+I31</f>
        <v>0</v>
      </c>
      <c r="J76" s="6"/>
      <c r="K76" s="6"/>
      <c r="L76" s="5"/>
      <c r="M76" s="5"/>
      <c r="N76" s="5"/>
      <c r="AU76" s="3"/>
      <c r="AV76" s="3">
        <v>16</v>
      </c>
      <c r="AW76" s="4">
        <v>16</v>
      </c>
      <c r="AX76" s="4">
        <f t="shared" si="6"/>
        <v>5</v>
      </c>
      <c r="AY76" s="3">
        <f t="shared" si="6"/>
        <v>0</v>
      </c>
      <c r="AZ76" s="25">
        <f t="shared" si="7"/>
        <v>0</v>
      </c>
      <c r="BA76" s="3"/>
      <c r="BB76" s="2">
        <f t="shared" si="8"/>
        <v>5.376344086021505</v>
      </c>
      <c r="BC76" s="3"/>
      <c r="BM76" s="23" t="s">
        <v>5</v>
      </c>
      <c r="BN76" s="22"/>
      <c r="BO76" s="19">
        <f>VALUE(BK55)</f>
        <v>4</v>
      </c>
      <c r="BP76" s="18">
        <f>VALUE(BL55)</f>
        <v>4.3010752688172049</v>
      </c>
      <c r="BQ76"/>
      <c r="BR76"/>
      <c r="BS76"/>
    </row>
    <row r="77" spans="1:71" ht="15" x14ac:dyDescent="0.2">
      <c r="A77" s="17">
        <v>27</v>
      </c>
      <c r="B77" s="6">
        <f>+W32</f>
        <v>11.4</v>
      </c>
      <c r="C77" s="11">
        <v>-1.3469999999999998</v>
      </c>
      <c r="D77" s="5">
        <f>+H32</f>
        <v>2.4250000000000003</v>
      </c>
      <c r="E77" s="5">
        <f>+AO32</f>
        <v>-3.3</v>
      </c>
      <c r="F77" s="5">
        <f>+AM32</f>
        <v>-23.7</v>
      </c>
      <c r="G77" s="5">
        <f>+I32</f>
        <v>0</v>
      </c>
      <c r="J77" s="6"/>
      <c r="K77" s="6"/>
      <c r="L77" s="5"/>
      <c r="M77" s="5"/>
      <c r="N77" s="5"/>
      <c r="AW77" s="4">
        <v>18</v>
      </c>
      <c r="AX77" s="4">
        <f t="shared" si="6"/>
        <v>4</v>
      </c>
      <c r="AZ77" s="3">
        <f>SUM(AZ69:AZ76)</f>
        <v>100</v>
      </c>
      <c r="BB77" s="2">
        <f t="shared" si="8"/>
        <v>4.3010752688172049</v>
      </c>
      <c r="BM77" s="23" t="s">
        <v>4</v>
      </c>
      <c r="BN77" s="22"/>
      <c r="BO77" s="19">
        <f>VALUE(BK56)</f>
        <v>3</v>
      </c>
      <c r="BP77" s="18">
        <f>VALUE(BL56)</f>
        <v>3.225806451612903</v>
      </c>
      <c r="BQ77"/>
      <c r="BR77"/>
      <c r="BS77"/>
    </row>
    <row r="78" spans="1:71" ht="15" x14ac:dyDescent="0.2">
      <c r="A78" s="17">
        <v>28</v>
      </c>
      <c r="B78" s="6">
        <f>+W33</f>
        <v>12.9</v>
      </c>
      <c r="C78" s="11">
        <v>-1.3055833333333333</v>
      </c>
      <c r="D78" s="5">
        <f>+H33</f>
        <v>5.0749999999999993</v>
      </c>
      <c r="E78" s="5">
        <f>+AO33</f>
        <v>-0.5</v>
      </c>
      <c r="F78" s="5">
        <f>+AM33</f>
        <v>-19.399999999999999</v>
      </c>
      <c r="G78" s="5">
        <f>+I33</f>
        <v>1.2</v>
      </c>
      <c r="J78" s="6"/>
      <c r="K78" s="6"/>
      <c r="L78" s="5"/>
      <c r="M78" s="5"/>
      <c r="N78" s="5"/>
      <c r="AW78" s="4">
        <v>20</v>
      </c>
      <c r="AX78" s="4">
        <f t="shared" si="6"/>
        <v>18</v>
      </c>
      <c r="BB78" s="24">
        <f t="shared" si="8"/>
        <v>19.35483870967742</v>
      </c>
      <c r="BM78" s="23" t="s">
        <v>3</v>
      </c>
      <c r="BN78" s="22"/>
      <c r="BO78" s="19">
        <f>VALUE(BK57)</f>
        <v>6</v>
      </c>
      <c r="BP78" s="18">
        <f>VALUE(BL57)</f>
        <v>6.4516129032258061</v>
      </c>
      <c r="BQ78"/>
      <c r="BR78"/>
      <c r="BS78"/>
    </row>
    <row r="79" spans="1:71" ht="15" x14ac:dyDescent="0.2">
      <c r="A79" s="17">
        <v>29</v>
      </c>
      <c r="B79" s="6">
        <f>+W34</f>
        <v>13.5</v>
      </c>
      <c r="C79" s="11">
        <v>-1.2583055555555551</v>
      </c>
      <c r="D79" s="5">
        <f>+H34</f>
        <v>7.9999999999999991</v>
      </c>
      <c r="E79" s="5">
        <f>+AO34</f>
        <v>4.7</v>
      </c>
      <c r="F79" s="5">
        <f>+AM34</f>
        <v>-24.8</v>
      </c>
      <c r="G79" s="5">
        <f>+I34</f>
        <v>0.7</v>
      </c>
      <c r="J79" s="6"/>
      <c r="K79" s="6"/>
      <c r="L79" s="5"/>
      <c r="M79" s="5"/>
      <c r="N79" s="5"/>
      <c r="AW79" s="4">
        <v>22</v>
      </c>
      <c r="AX79" s="4">
        <f t="shared" si="6"/>
        <v>27</v>
      </c>
      <c r="BB79" s="2">
        <f t="shared" si="8"/>
        <v>29.032258064516132</v>
      </c>
      <c r="BM79" s="21" t="s">
        <v>2</v>
      </c>
      <c r="BN79" s="20"/>
      <c r="BO79" s="19">
        <f>VALUE(BK58)</f>
        <v>0</v>
      </c>
      <c r="BP79" s="18">
        <f>VALUE(BL58)</f>
        <v>0</v>
      </c>
      <c r="BQ79"/>
      <c r="BR79"/>
      <c r="BS79"/>
    </row>
    <row r="80" spans="1:71" ht="15.75" thickBot="1" x14ac:dyDescent="0.25">
      <c r="A80" s="17">
        <v>30</v>
      </c>
      <c r="B80" s="6">
        <f>+W35</f>
        <v>10.8</v>
      </c>
      <c r="C80" s="11">
        <v>-1.2281666666666662</v>
      </c>
      <c r="D80" s="5">
        <f>+H35</f>
        <v>2.5</v>
      </c>
      <c r="E80" s="5">
        <f>+AO35</f>
        <v>2.2999999999999998</v>
      </c>
      <c r="F80" s="5">
        <f>+AM35</f>
        <v>-22.2</v>
      </c>
      <c r="G80" s="5">
        <f>+I35</f>
        <v>0</v>
      </c>
      <c r="J80" s="6"/>
      <c r="K80" s="6"/>
      <c r="L80" s="5"/>
      <c r="M80" s="5"/>
      <c r="N80" s="5"/>
      <c r="AW80" s="4">
        <v>25</v>
      </c>
      <c r="AX80" s="4">
        <f t="shared" si="6"/>
        <v>6</v>
      </c>
      <c r="BB80" s="2">
        <f t="shared" si="8"/>
        <v>6.4516129032258061</v>
      </c>
      <c r="BM80" s="16" t="s">
        <v>1</v>
      </c>
      <c r="BN80" s="15"/>
      <c r="BO80" s="14">
        <f>VALUE(BK59)</f>
        <v>13</v>
      </c>
      <c r="BP80" s="13">
        <f>VALUE(BL59)</f>
        <v>13.978494623655912</v>
      </c>
      <c r="BQ80"/>
      <c r="BR80"/>
      <c r="BS80"/>
    </row>
    <row r="81" spans="1:71" ht="15.75" thickBot="1" x14ac:dyDescent="0.25">
      <c r="A81" s="12">
        <v>31</v>
      </c>
      <c r="B81" s="6">
        <f>+W36</f>
        <v>11.4</v>
      </c>
      <c r="C81" s="11">
        <v>-1.2141944444444444</v>
      </c>
      <c r="D81" s="5">
        <f>+H36</f>
        <v>3.4249999999999998</v>
      </c>
      <c r="E81" s="5">
        <f>+AO36</f>
        <v>-7.6</v>
      </c>
      <c r="F81" s="5">
        <f>+AM36</f>
        <v>-26.8</v>
      </c>
      <c r="G81" s="5">
        <f>+I36</f>
        <v>0</v>
      </c>
      <c r="J81" s="6"/>
      <c r="K81" s="6"/>
      <c r="L81" s="5"/>
      <c r="M81" s="5"/>
      <c r="N81" s="5"/>
      <c r="AW81" s="4">
        <v>27</v>
      </c>
      <c r="AX81" s="4">
        <f t="shared" si="6"/>
        <v>0</v>
      </c>
      <c r="BB81" s="2">
        <f t="shared" si="8"/>
        <v>0</v>
      </c>
      <c r="BM81" s="10" t="s">
        <v>0</v>
      </c>
      <c r="BN81" s="9"/>
      <c r="BO81" s="8">
        <f>VALUE(BK60)</f>
        <v>93</v>
      </c>
      <c r="BP81" s="7">
        <f>VALUE(BL60)</f>
        <v>100</v>
      </c>
      <c r="BQ81"/>
      <c r="BR81"/>
      <c r="BS81"/>
    </row>
    <row r="82" spans="1:71" x14ac:dyDescent="0.2">
      <c r="J82" s="6"/>
      <c r="K82" s="6"/>
      <c r="L82" s="5"/>
      <c r="M82" s="5"/>
      <c r="N82" s="5"/>
      <c r="AW82" s="4">
        <v>29</v>
      </c>
      <c r="AX82" s="4">
        <f t="shared" si="6"/>
        <v>0</v>
      </c>
      <c r="BB82" s="2">
        <f t="shared" si="8"/>
        <v>0</v>
      </c>
      <c r="BM82"/>
      <c r="BN82"/>
      <c r="BO82"/>
      <c r="BP82"/>
      <c r="BQ82"/>
      <c r="BR82"/>
      <c r="BS82"/>
    </row>
    <row r="83" spans="1:71" x14ac:dyDescent="0.2">
      <c r="AW83" s="4">
        <v>31</v>
      </c>
      <c r="AX83" s="4">
        <f t="shared" si="6"/>
        <v>0</v>
      </c>
      <c r="BB83" s="2">
        <f t="shared" si="8"/>
        <v>0</v>
      </c>
    </row>
    <row r="84" spans="1:71" x14ac:dyDescent="0.2">
      <c r="AW84" s="4">
        <v>34</v>
      </c>
      <c r="AX84" s="4">
        <f t="shared" si="6"/>
        <v>1</v>
      </c>
      <c r="BB84" s="2">
        <f t="shared" si="8"/>
        <v>1.0752688172043012</v>
      </c>
    </row>
    <row r="85" spans="1:71" x14ac:dyDescent="0.2">
      <c r="AW85" s="4">
        <v>36</v>
      </c>
      <c r="AX85" s="4">
        <f t="shared" si="6"/>
        <v>6</v>
      </c>
      <c r="BB85" s="2">
        <f t="shared" si="8"/>
        <v>6.4516129032258061</v>
      </c>
    </row>
    <row r="86" spans="1:71" x14ac:dyDescent="0.2">
      <c r="AW86" s="1" t="s">
        <v>0</v>
      </c>
      <c r="AX86" s="4">
        <f>SUM(AX69:AX85)</f>
        <v>93</v>
      </c>
      <c r="AY86" s="3">
        <f>SUM(AY69:AY85)</f>
        <v>93</v>
      </c>
      <c r="BB86" s="2">
        <f>SUM(BB69:BB85)</f>
        <v>100.00000000000001</v>
      </c>
    </row>
  </sheetData>
  <mergeCells count="14">
    <mergeCell ref="BO18:BS18"/>
    <mergeCell ref="BO19:BS19"/>
    <mergeCell ref="BO30:BR30"/>
    <mergeCell ref="Q48:S48"/>
    <mergeCell ref="X48:Z48"/>
    <mergeCell ref="AD48:AF48"/>
    <mergeCell ref="AK48:AM48"/>
    <mergeCell ref="AP48:AQ48"/>
    <mergeCell ref="BO6:BS6"/>
    <mergeCell ref="BO7:BS7"/>
    <mergeCell ref="BO10:BS10"/>
    <mergeCell ref="BO11:BS11"/>
    <mergeCell ref="BO14:BS14"/>
    <mergeCell ref="BO15:BS15"/>
  </mergeCells>
  <conditionalFormatting sqref="U6:U46">
    <cfRule type="cellIs" dxfId="7" priority="7" operator="lessThanOrEqual">
      <formula>$U$49</formula>
    </cfRule>
    <cfRule type="cellIs" dxfId="6" priority="8" operator="greaterThanOrEqual">
      <formula>$U$48</formula>
    </cfRule>
  </conditionalFormatting>
  <conditionalFormatting sqref="AA6:AA46">
    <cfRule type="cellIs" dxfId="5" priority="5" operator="lessThanOrEqual">
      <formula>$AA$49</formula>
    </cfRule>
    <cfRule type="cellIs" dxfId="4" priority="6" operator="greaterThanOrEqual">
      <formula>$AA$48</formula>
    </cfRule>
  </conditionalFormatting>
  <conditionalFormatting sqref="AH6:AH46">
    <cfRule type="cellIs" dxfId="3" priority="3" operator="lessThanOrEqual">
      <formula>$AH$49</formula>
    </cfRule>
    <cfRule type="cellIs" dxfId="2" priority="4" operator="greaterThanOrEqual">
      <formula>$AH$48</formula>
    </cfRule>
  </conditionalFormatting>
  <conditionalFormatting sqref="AO6:AO46">
    <cfRule type="cellIs" dxfId="1" priority="1" operator="lessThanOrEqual">
      <formula>$AO$49</formula>
    </cfRule>
    <cfRule type="cellIs" dxfId="0" priority="2" operator="greaterThanOrEqual">
      <formula>$AO$48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leden </vt:lpstr>
      <vt:lpstr>Graf1-1</vt:lpstr>
      <vt:lpstr>Graf1-2 </vt:lpstr>
      <vt:lpstr>Graf1-3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2018-02-01T08:15:52Z</dcterms:created>
  <dcterms:modified xsi:type="dcterms:W3CDTF">2018-02-01T08:33:13Z</dcterms:modified>
</cp:coreProperties>
</file>